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activeTab="0"/>
  </bookViews>
  <sheets>
    <sheet name="Appendix A-3" sheetId="1" r:id="rId1"/>
    <sheet name="Appendix B-3" sheetId="2" r:id="rId2"/>
    <sheet name="Appendix C-3" sheetId="3" r:id="rId3"/>
    <sheet name="PWS Task to Hours" sheetId="4" r:id="rId4"/>
    <sheet name="Unadjusted FTE" sheetId="5" r:id="rId5"/>
  </sheets>
  <definedNames>
    <definedName name="_xlnm._FilterDatabase" localSheetId="0" hidden="1">'Appendix A-3'!$A$5:$J$191</definedName>
    <definedName name="_xlnm.Print_Area" localSheetId="0">'Appendix A-3'!$A$1:$J$198</definedName>
    <definedName name="_xlnm.Print_Area" localSheetId="1">'Appendix B-3'!$A$1:$L$63</definedName>
    <definedName name="_xlnm.Print_Area" localSheetId="2">'Appendix C-3'!$A$1:$T$25</definedName>
    <definedName name="_xlnm.Print_Titles" localSheetId="0">'Appendix A-3'!$1:$5</definedName>
    <definedName name="_xlnm.Print_Titles" localSheetId="1">'Appendix B-3'!$1:$3</definedName>
    <definedName name="_xlnm.Print_Titles" localSheetId="2">'Appendix C-3'!$A:$A,'Appendix C-3'!$1:$3</definedName>
  </definedNames>
  <calcPr fullCalcOnLoad="1"/>
  <pivotCaches>
    <pivotCache cacheId="5" r:id="rId6"/>
    <pivotCache cacheId="6" r:id="rId7"/>
    <pivotCache cacheId="7" r:id="rId8"/>
  </pivotCaches>
</workbook>
</file>

<file path=xl/sharedStrings.xml><?xml version="1.0" encoding="utf-8"?>
<sst xmlns="http://schemas.openxmlformats.org/spreadsheetml/2006/main" count="726" uniqueCount="235">
  <si>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</si>
  <si>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</si>
  <si>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</si>
  <si>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</si>
  <si>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</si>
  <si>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</si>
  <si>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</si>
  <si>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</si>
  <si>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</si>
  <si>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</si>
  <si>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</si>
  <si>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</si>
  <si>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</si>
  <si>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</si>
  <si>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</si>
  <si>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</si>
  <si>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</si>
  <si>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</si>
  <si>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</si>
  <si>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</si>
  <si>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</si>
  <si>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</si>
  <si>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</si>
  <si>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</si>
  <si>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</si>
  <si>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</si>
  <si>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</si>
  <si>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</si>
  <si>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</si>
  <si>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</si>
  <si>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</si>
  <si>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</si>
  <si>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</si>
  <si>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</si>
  <si>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</si>
  <si>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</si>
  <si>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</si>
  <si>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</si>
  <si>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</si>
  <si>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</si>
  <si>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</si>
  <si>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</si>
  <si>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</si>
  <si>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</si>
  <si>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</si>
  <si>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</si>
  <si>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</si>
  <si>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</si>
  <si>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</si>
  <si>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</si>
  <si>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</si>
  <si>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</si>
  <si>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</si>
  <si>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</si>
  <si>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</si>
  <si>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</si>
  <si>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</si>
  <si>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</si>
  <si>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</si>
  <si>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</si>
  <si>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</si>
  <si>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</si>
  <si>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</si>
  <si>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</si>
  <si>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</si>
  <si>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</si>
  <si>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</si>
  <si>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</si>
  <si>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</si>
  <si>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</si>
  <si>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</si>
  <si>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</si>
  <si>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</si>
  <si>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</si>
  <si>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</si>
  <si>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</si>
  <si>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</si>
  <si>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</si>
  <si>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</si>
  <si>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</si>
  <si>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</si>
  <si>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</si>
  <si>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</si>
  <si>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</si>
  <si>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</si>
  <si>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</si>
  <si>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</si>
  <si>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</si>
  <si>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</si>
  <si>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</si>
  <si>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</si>
  <si>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</si>
  <si>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</si>
  <si>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</si>
  <si>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</si>
  <si>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</si>
  <si>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</si>
  <si>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</si>
  <si>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</si>
  <si>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</si>
  <si>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</si>
  <si>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</si>
  <si>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</si>
  <si>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</si>
  <si>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</si>
  <si>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</si>
  <si>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</si>
  <si>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</si>
  <si>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</si>
  <si>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</si>
  <si>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</si>
  <si>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</si>
  <si>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</si>
  <si>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</si>
  <si>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</si>
  <si>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</si>
  <si>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</si>
  <si>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</si>
  <si>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</si>
  <si>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</si>
  <si>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</si>
  <si>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</si>
  <si>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</si>
  <si>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</si>
  <si>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</si>
  <si>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</si>
  <si>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</si>
  <si>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</si>
  <si>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</si>
  <si>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</si>
  <si>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</si>
  <si>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</si>
  <si>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</si>
  <si>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</si>
  <si>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</si>
  <si>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</si>
  <si>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</si>
  <si>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</si>
  <si>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</si>
  <si>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</si>
  <si>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</si>
  <si>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</si>
  <si>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</si>
  <si>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</si>
  <si>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</si>
  <si>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</si>
  <si>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</si>
  <si>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</si>
  <si>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</si>
  <si>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</si>
  <si>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</si>
  <si>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</si>
  <si>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</si>
  <si>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</si>
  <si>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</si>
  <si>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</si>
  <si>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</si>
  <si>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</si>
  <si>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</si>
  <si>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</si>
  <si>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</si>
  <si>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</si>
  <si>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</si>
  <si>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</si>
  <si>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</si>
  <si>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</si>
  <si>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</si>
  <si>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</si>
  <si>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</si>
  <si>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</si>
  <si>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</si>
  <si>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C-3</t>
  </si>
  <si>
    <t>APPENDIX B-3</t>
  </si>
  <si>
    <t>APPENDIX A-3</t>
  </si>
  <si>
    <t>Prepare PRAC and PAC contract amendments when funds needed</t>
  </si>
  <si>
    <t>Prepare PRAC and PAC contract amendments when funds are not needed</t>
  </si>
  <si>
    <t>Senior involvement required. MEO Team TE.</t>
  </si>
  <si>
    <t>Program Assistant GS-7 will perform 80% of tasks</t>
  </si>
  <si>
    <t>Financial Analyst GS-09 spends 5% of time on task.</t>
  </si>
  <si>
    <t>Financial Analyst GS-11 spends 10% of time on task.</t>
  </si>
  <si>
    <t>Financial Analyst GS-12 spends 5% of time on task.</t>
  </si>
  <si>
    <t>LITTLE ROCK AGENCY TENDER (FORT WORTH AND KANSAS CITY) CROSSWALK PWS TASKS TO STAFFING-YEAR 3</t>
  </si>
  <si>
    <t>ADJUSTED HOURS, FTE &amp; MEO FOR FTW &amp; KC AREA AGENCY TENDER - YEAR 3</t>
  </si>
  <si>
    <t>LITTLE ROCK</t>
  </si>
  <si>
    <t>UNADJUSTED HOURS BY PWS TASK AND MEO POSITION - YEAR 3</t>
  </si>
  <si>
    <t>Number of vouchers estimated at quarterly since owner may submit throughout the year and the PWS number is assumed to refer to SC contracts.</t>
  </si>
  <si>
    <t>Outstationed</t>
  </si>
  <si>
    <t>4.3.1</t>
  </si>
  <si>
    <t>4.3.2</t>
  </si>
  <si>
    <t>4.5.1</t>
  </si>
  <si>
    <t>4.5.2</t>
  </si>
  <si>
    <t>4.5.3</t>
  </si>
  <si>
    <t>4.7.1</t>
  </si>
  <si>
    <t>4.7.2</t>
  </si>
  <si>
    <t>4.7.3</t>
  </si>
  <si>
    <t>4.10.1</t>
  </si>
  <si>
    <t>4.10.2</t>
  </si>
  <si>
    <r>
      <t xml:space="preserve">Review the </t>
    </r>
    <r>
      <rPr>
        <sz val="10"/>
        <rFont val="Arial"/>
        <family val="2"/>
      </rPr>
      <t>reports with follow-up</t>
    </r>
  </si>
  <si>
    <t>4.14.2</t>
  </si>
  <si>
    <t>4.14.3</t>
  </si>
  <si>
    <t>4.14.1</t>
  </si>
  <si>
    <t>Split 80% Program Assistant and 20% Fin. Analyst</t>
  </si>
  <si>
    <t xml:space="preserve">Management Analyst (Info Systems) GS-12/13                                                     </t>
  </si>
  <si>
    <t>Quality Control Analyst GS-12/13</t>
  </si>
  <si>
    <t>Supervisory, QC Control Analyst/Deputy Program Manager GS-13/14</t>
  </si>
  <si>
    <t>(3) Based on 39.5 actual training hrs per FTE per year</t>
  </si>
  <si>
    <t>(6) Hours for Human Resources and Information Technology positions, as general administrative work.</t>
  </si>
  <si>
    <t>(7) Unadjusted total hours equals PWS driven hours plus breaks, training, supervisory, quality control, administrative activities, and meetings.</t>
  </si>
  <si>
    <t>Service will be provided by subcontract</t>
  </si>
  <si>
    <t>Specialist GS-7 spends 80% of time on task.  100 hrs total for Work Plan.</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</si>
  <si>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</si>
  <si>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</si>
  <si>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</si>
  <si>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</si>
  <si>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</si>
  <si>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</si>
  <si>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</si>
  <si>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</si>
  <si>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95 times 2 because semi-annual - change workload indicator.</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</si>
  <si>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</si>
  <si>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</si>
  <si>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</si>
  <si>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</si>
  <si>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</si>
  <si>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</si>
  <si>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</si>
  <si>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</si>
  <si>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</si>
  <si>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(1) Determined by multiplying time per task by the workload indicator for raw required hours.</t>
  </si>
  <si>
    <t>See Note 3.</t>
  </si>
  <si>
    <t>See Note A.</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</si>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</sst>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3" xfId="21" applyFill="1" applyBorder="1" applyAlignment="1">
      <alignment/>
    </xf>
    <xf numFmtId="2" fontId="1" fillId="0" borderId="14"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0" fontId="0" fillId="0" borderId="0" xfId="0" applyAlignment="1">
      <alignment wrapText="1"/>
    </xf>
    <xf numFmtId="2" fontId="1" fillId="0" borderId="1" xfId="0" applyNumberFormat="1" applyFont="1" applyFill="1" applyBorder="1" applyAlignment="1">
      <alignment horizontal="right"/>
    </xf>
    <xf numFmtId="0" fontId="0" fillId="3" borderId="13" xfId="0" applyFill="1" applyBorder="1" applyAlignment="1">
      <alignment horizontal="left" wrapText="1" indent="1"/>
    </xf>
    <xf numFmtId="0" fontId="0" fillId="3" borderId="15" xfId="0" applyFill="1" applyBorder="1" applyAlignment="1">
      <alignment horizontal="left" wrapText="1" indent="1"/>
    </xf>
    <xf numFmtId="0" fontId="0" fillId="0" borderId="8" xfId="0" applyFill="1" applyBorder="1" applyAlignment="1">
      <alignment horizontal="right"/>
    </xf>
    <xf numFmtId="0" fontId="0" fillId="0" borderId="1" xfId="0" applyBorder="1" applyAlignment="1">
      <alignment wrapText="1"/>
    </xf>
    <xf numFmtId="169" fontId="1" fillId="3" borderId="5" xfId="15" applyNumberFormat="1" applyFont="1" applyFill="1" applyBorder="1" applyAlignment="1">
      <alignment/>
    </xf>
    <xf numFmtId="43" fontId="1" fillId="0" borderId="8" xfId="15" applyNumberFormat="1" applyFont="1" applyBorder="1" applyAlignment="1">
      <alignment/>
    </xf>
    <xf numFmtId="0" fontId="0" fillId="0" borderId="4" xfId="0" applyBorder="1" applyAlignment="1">
      <alignment horizontal="center"/>
    </xf>
    <xf numFmtId="0" fontId="1" fillId="0" borderId="5" xfId="0" applyFont="1" applyBorder="1" applyAlignment="1">
      <alignment horizontal="right"/>
    </xf>
    <xf numFmtId="43" fontId="1" fillId="0" borderId="5" xfId="15" applyNumberFormat="1" applyFont="1" applyBorder="1" applyAlignment="1">
      <alignment/>
    </xf>
    <xf numFmtId="0" fontId="11" fillId="0" borderId="1" xfId="0" applyFont="1" applyFill="1" applyBorder="1" applyAlignment="1">
      <alignment horizontal="left" wrapText="1"/>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5"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169" fontId="1" fillId="3" borderId="4" xfId="15" applyNumberFormat="1" applyFont="1" applyFill="1" applyBorder="1" applyAlignment="1">
      <alignment/>
    </xf>
    <xf numFmtId="169" fontId="1" fillId="0" borderId="0" xfId="15" applyNumberFormat="1" applyFont="1" applyFill="1" applyBorder="1" applyAlignment="1">
      <alignment/>
    </xf>
    <xf numFmtId="0" fontId="0" fillId="0" borderId="2" xfId="0" applyBorder="1" applyAlignment="1">
      <alignment wrapText="1"/>
    </xf>
    <xf numFmtId="0" fontId="1" fillId="0" borderId="1" xfId="0" applyFont="1" applyBorder="1" applyAlignment="1">
      <alignment wrapText="1"/>
    </xf>
    <xf numFmtId="1" fontId="0" fillId="0" borderId="1" xfId="0" applyNumberFormat="1" applyFill="1" applyBorder="1" applyAlignment="1">
      <alignment horizontal="center"/>
    </xf>
    <xf numFmtId="0" fontId="0" fillId="0" borderId="1" xfId="0" applyBorder="1" applyAlignment="1">
      <alignment wrapText="1"/>
    </xf>
    <xf numFmtId="0" fontId="0" fillId="5" borderId="1" xfId="0" applyFill="1" applyBorder="1" applyAlignment="1">
      <alignment horizontal="center"/>
    </xf>
    <xf numFmtId="43" fontId="0" fillId="5" borderId="1" xfId="0" applyNumberFormat="1" applyFill="1" applyBorder="1" applyAlignment="1">
      <alignment horizontal="center"/>
    </xf>
    <xf numFmtId="173" fontId="0" fillId="0" borderId="1" xfId="0" applyNumberFormat="1" applyBorder="1" applyAlignment="1">
      <alignment/>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numFmt numFmtId="43" formatCode="_(* #,##0.00_);_(* \(#,##0.00\);_(* &quot;-&quot;??_);_(@_)"/>
      <border/>
    </dxf>
    <dxf>
      <border>
        <left style="thin"/>
        <right style="thin"/>
        <top style="thin"/>
        <bottom style="thin"/>
      </border>
    </dxf>
    <dxf>
      <border>
        <left style="thin"/>
        <right style="thin"/>
        <top style="thin"/>
      </border>
    </dxf>
    <dxf>
      <numFmt numFmtId="173" formatCode="#,##0.0"/>
      <border/>
    </dxf>
    <dxf>
      <fill>
        <patternFill patternType="solid">
          <bgColor rgb="FFFFFF00"/>
        </patternFill>
      </fill>
      <border/>
    </dxf>
    <dxf>
      <font>
        <b/>
      </font>
      <border/>
    </dxf>
    <dxf>
      <numFmt numFmtId="3" formatCode="#,##0"/>
      <border/>
    </dxf>
    <dxf>
      <alignment wrapText="1" readingOrder="2"/>
      <border/>
    </dxf>
    <dxf>
      <alignment wrapText="1" readingOrder="0"/>
      <border/>
    </dxf>
    <dxf>
      <alignment horizontal="center" readingOrder="2"/>
      <border/>
    </dxf>
    <dxf>
      <alignment horizontal="center" readingOrder="0"/>
      <border/>
    </dxf>
    <dxf>
      <border>
        <left style="thin"/>
        <top style="thin"/>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3"/>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3"/>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9">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2">
      <pivotArea outline="0" fieldPosition="0" dataOnly="0" labelOnly="1">
        <references count="1">
          <reference field="0" count="0"/>
        </references>
      </pivotArea>
    </format>
    <format dxfId="2">
      <pivotArea outline="0" fieldPosition="0" dataOnly="0" grandCol="1" labelOnly="1"/>
    </format>
    <format dxfId="4">
      <pivotArea outline="0" fieldPosition="0" dataOnly="0" labelOnly="1">
        <references count="1">
          <reference field="0" count="0"/>
        </references>
      </pivotArea>
    </format>
    <format dxfId="4">
      <pivotArea outline="0" fieldPosition="0" dataOnly="0" grandCol="1" labelOnly="1"/>
    </format>
    <format dxfId="5">
      <pivotArea outline="0" fieldPosition="0" grandRow="1"/>
    </format>
    <format dxfId="5">
      <pivotArea outline="0" fieldPosition="0" dataOnly="0" grandRow="1" labelOnly="1"/>
    </format>
    <format dxfId="6">
      <pivotArea outline="0" fieldPosition="0">
        <references count="1">
          <reference field="3" count="16">
            <x v="1"/>
            <x v="2"/>
            <x v="3"/>
            <x v="4"/>
            <x v="5"/>
            <x v="6"/>
            <x v="7"/>
            <x v="8"/>
            <x v="9"/>
            <x v="10"/>
            <x v="11"/>
            <x v="12"/>
            <x v="14"/>
            <x v="15"/>
            <x v="16"/>
            <x v="72"/>
          </reference>
        </references>
      </pivotArea>
    </format>
    <format dxfId="6">
      <pivotArea outline="0" fieldPosition="0" grandRow="1"/>
    </format>
    <format dxfId="7">
      <pivotArea outline="0" fieldPosition="0" dataOnly="0" labelOnly="1" type="origin"/>
    </format>
    <format dxfId="7">
      <pivotArea outline="0" fieldPosition="0" axis="axisRow" dataOnly="0" field="3" labelOnly="1" type="button"/>
    </format>
    <format dxfId="7">
      <pivotArea outline="0" fieldPosition="0" dataOnly="0" labelOnly="1">
        <references count="1">
          <reference field="3" count="0"/>
        </references>
      </pivotArea>
    </format>
    <format dxfId="8">
      <pivotArea outline="0" fieldPosition="0" dataOnly="0" grandRow="1" labelOnly="1"/>
    </format>
    <format dxfId="9">
      <pivotArea outline="0" fieldPosition="0" dataOnly="0" labelOnly="1">
        <references count="1">
          <reference field="0" count="0"/>
        </references>
      </pivotArea>
    </format>
    <format dxfId="10">
      <pivotArea outline="0" fieldPosition="0" dataOnly="0" grandCol="1" labelOnly="1"/>
    </format>
    <format dxfId="3">
      <pivotArea outline="0" fieldPosition="0">
        <references count="1">
          <reference field="3" count="14">
            <x v="1"/>
            <x v="2"/>
            <x v="3"/>
            <x v="5"/>
            <x v="6"/>
            <x v="7"/>
            <x v="8"/>
            <x v="9"/>
            <x v="10"/>
            <x v="14"/>
            <x v="15"/>
            <x v="72"/>
            <x v="73"/>
            <x v="74"/>
          </reference>
        </references>
      </pivotArea>
    </format>
    <format dxfId="11">
      <pivotArea outline="0" fieldPosition="0"/>
    </format>
    <format dxfId="11">
      <pivotArea outline="0" fieldPosition="0" axis="axisRow" dataOnly="0" field="3" labelOnly="1" type="button"/>
    </format>
    <format dxfId="11">
      <pivotArea outline="0" fieldPosition="0" dataOnly="0" labelOnly="1">
        <references count="1">
          <reference field="3" count="0"/>
        </references>
      </pivotArea>
    </format>
    <format dxfId="11">
      <pivotArea outline="0" fieldPosition="0" dataOnly="0" grandRow="1" labelOnly="1"/>
    </format>
    <format dxfId="11">
      <pivotArea outline="0" fieldPosition="0" dataOnly="0" labelOnly="1">
        <references count="1">
          <reference field="0" count="0"/>
        </references>
      </pivotArea>
    </format>
    <format dxfId="11">
      <pivotArea outline="0" fieldPosition="0" dataOnly="0" grandCol="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dataOnly="0" labelOnly="1">
        <references count="1">
          <reference field="0" count="0"/>
        </references>
      </pivotArea>
    </format>
    <format dxfId="1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tabSelected="1" zoomScale="75" zoomScaleNormal="75" workbookViewId="0" topLeftCell="A1">
      <pane ySplit="5" topLeftCell="BM6" activePane="bottomLeft" state="frozen"/>
      <selection pane="topLeft" activeCell="A1" sqref="A1"/>
      <selection pane="bottomLeft" activeCell="A195" sqref="A195:I195"/>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39" customWidth="1"/>
    <col min="9" max="9" width="8.8515625" style="26" customWidth="1"/>
    <col min="10" max="10" width="28.7109375" style="2" customWidth="1"/>
    <col min="11" max="16384" width="9.140625" style="1" customWidth="1"/>
  </cols>
  <sheetData>
    <row r="1" spans="1:10" ht="18">
      <c r="A1" s="136" t="s">
        <v>173</v>
      </c>
      <c r="B1" s="135"/>
      <c r="C1" s="135"/>
      <c r="D1" s="135"/>
      <c r="E1" s="135"/>
      <c r="F1" s="137"/>
      <c r="G1" s="138"/>
      <c r="H1" s="139"/>
      <c r="I1" s="140"/>
      <c r="J1" s="135"/>
    </row>
    <row r="2" ht="10.5" customHeight="1">
      <c r="B2" s="142"/>
    </row>
    <row r="3" spans="1:10" ht="18">
      <c r="A3" s="136" t="s">
        <v>181</v>
      </c>
      <c r="B3" s="136"/>
      <c r="C3" s="136"/>
      <c r="D3" s="136"/>
      <c r="E3" s="136"/>
      <c r="F3" s="143"/>
      <c r="G3" s="144"/>
      <c r="H3" s="145"/>
      <c r="I3" s="146"/>
      <c r="J3" s="136"/>
    </row>
    <row r="4" ht="9.75" customHeight="1"/>
    <row r="5" spans="1:10" s="2" customFormat="1" ht="49.5" customHeight="1">
      <c r="A5" s="14" t="s">
        <v>85</v>
      </c>
      <c r="B5" s="14" t="s">
        <v>166</v>
      </c>
      <c r="C5" s="14" t="s">
        <v>0</v>
      </c>
      <c r="D5" s="14" t="s">
        <v>1</v>
      </c>
      <c r="E5" s="14" t="s">
        <v>2</v>
      </c>
      <c r="F5" s="15" t="s">
        <v>102</v>
      </c>
      <c r="G5" s="16" t="s">
        <v>63</v>
      </c>
      <c r="H5" s="168" t="s">
        <v>103</v>
      </c>
      <c r="I5" s="23" t="s">
        <v>104</v>
      </c>
      <c r="J5" s="38" t="s">
        <v>62</v>
      </c>
    </row>
    <row r="6" spans="1:10" ht="22.5">
      <c r="A6" s="6">
        <v>4.1</v>
      </c>
      <c r="B6" s="6" t="s">
        <v>108</v>
      </c>
      <c r="C6" s="5" t="s">
        <v>110</v>
      </c>
      <c r="D6" s="56"/>
      <c r="E6" s="57">
        <v>8150</v>
      </c>
      <c r="F6" s="18"/>
      <c r="G6" s="58"/>
      <c r="H6" s="169"/>
      <c r="I6" s="59"/>
      <c r="J6" s="54" t="s">
        <v>208</v>
      </c>
    </row>
    <row r="7" spans="1:10" ht="12.75">
      <c r="A7" s="6">
        <v>4.1</v>
      </c>
      <c r="B7" s="6" t="s">
        <v>109</v>
      </c>
      <c r="C7" s="5" t="s">
        <v>111</v>
      </c>
      <c r="D7" s="56"/>
      <c r="E7" s="57">
        <f>331+225</f>
        <v>556</v>
      </c>
      <c r="F7" s="18"/>
      <c r="G7" s="58"/>
      <c r="H7" s="169"/>
      <c r="I7" s="59"/>
      <c r="J7" s="54"/>
    </row>
    <row r="8" spans="1:10" s="2" customFormat="1" ht="12.75">
      <c r="A8" s="6">
        <v>4.1</v>
      </c>
      <c r="B8" s="6" t="s">
        <v>109</v>
      </c>
      <c r="C8" s="43" t="s">
        <v>112</v>
      </c>
      <c r="D8" s="44" t="s">
        <v>6</v>
      </c>
      <c r="E8" s="103">
        <f>+E7</f>
        <v>556</v>
      </c>
      <c r="F8" s="27">
        <v>0.25</v>
      </c>
      <c r="G8" s="9">
        <v>2</v>
      </c>
      <c r="H8" s="170">
        <f>+G8*F8*E8</f>
        <v>278</v>
      </c>
      <c r="I8" s="24">
        <f>H8/1776</f>
        <v>0.15653153153153154</v>
      </c>
      <c r="J8" s="41" t="s">
        <v>91</v>
      </c>
    </row>
    <row r="9" spans="1:10" s="2" customFormat="1" ht="12.75">
      <c r="A9" s="6">
        <v>4.1</v>
      </c>
      <c r="B9" s="6" t="s">
        <v>109</v>
      </c>
      <c r="C9" s="43" t="s">
        <v>112</v>
      </c>
      <c r="D9" s="44" t="s">
        <v>60</v>
      </c>
      <c r="E9" s="103">
        <f>+E7</f>
        <v>556</v>
      </c>
      <c r="F9" s="27">
        <v>0.25</v>
      </c>
      <c r="G9" s="9">
        <v>2</v>
      </c>
      <c r="H9" s="170">
        <f>+G9*F9*E9</f>
        <v>278</v>
      </c>
      <c r="I9" s="24">
        <f>H9/1776</f>
        <v>0.15653153153153154</v>
      </c>
      <c r="J9" s="41" t="s">
        <v>91</v>
      </c>
    </row>
    <row r="10" spans="1:10" s="2" customFormat="1" ht="13.5" thickBot="1">
      <c r="A10" s="64">
        <v>4.1</v>
      </c>
      <c r="B10" s="64" t="s">
        <v>109</v>
      </c>
      <c r="C10" s="65" t="s">
        <v>112</v>
      </c>
      <c r="D10" s="66" t="s">
        <v>89</v>
      </c>
      <c r="E10" s="103">
        <f>+E7</f>
        <v>556</v>
      </c>
      <c r="F10" s="67">
        <v>0.5</v>
      </c>
      <c r="G10" s="68">
        <v>2</v>
      </c>
      <c r="H10" s="170">
        <f>+G10*F10*E10</f>
        <v>556</v>
      </c>
      <c r="I10" s="69">
        <f>H10/1776</f>
        <v>0.3130630630630631</v>
      </c>
      <c r="J10" s="70" t="s">
        <v>90</v>
      </c>
    </row>
    <row r="11" spans="1:10" ht="25.5">
      <c r="A11" s="71">
        <v>4.2</v>
      </c>
      <c r="B11" s="71">
        <v>4.2</v>
      </c>
      <c r="C11" s="72" t="s">
        <v>38</v>
      </c>
      <c r="D11" s="91"/>
      <c r="E11" s="92"/>
      <c r="F11" s="93"/>
      <c r="G11" s="94"/>
      <c r="H11" s="171"/>
      <c r="I11" s="95"/>
      <c r="J11" s="78"/>
    </row>
    <row r="12" spans="1:10" ht="38.25">
      <c r="A12" s="6">
        <v>4.2</v>
      </c>
      <c r="B12" s="6">
        <v>4.2</v>
      </c>
      <c r="C12" s="43" t="s">
        <v>39</v>
      </c>
      <c r="D12" s="19"/>
      <c r="E12" s="120">
        <v>1044</v>
      </c>
      <c r="F12" s="19"/>
      <c r="G12" s="53"/>
      <c r="H12" s="172"/>
      <c r="I12" s="47"/>
      <c r="J12" s="54" t="s">
        <v>230</v>
      </c>
    </row>
    <row r="13" spans="1:10" ht="12.75">
      <c r="A13" s="6">
        <v>4.2</v>
      </c>
      <c r="B13" s="6" t="s">
        <v>113</v>
      </c>
      <c r="C13" s="43" t="s">
        <v>42</v>
      </c>
      <c r="D13" s="50"/>
      <c r="E13" s="120">
        <f>+E12</f>
        <v>1044</v>
      </c>
      <c r="F13" s="20"/>
      <c r="G13" s="53"/>
      <c r="H13" s="172"/>
      <c r="I13" s="47"/>
      <c r="J13" s="54"/>
    </row>
    <row r="14" spans="1:10" ht="22.5">
      <c r="A14" s="6">
        <v>4.2</v>
      </c>
      <c r="B14" s="6" t="s">
        <v>113</v>
      </c>
      <c r="C14" s="43" t="s">
        <v>42</v>
      </c>
      <c r="D14" s="44" t="s">
        <v>100</v>
      </c>
      <c r="E14" s="103">
        <f>+E13</f>
        <v>1044</v>
      </c>
      <c r="F14" s="27">
        <v>0.8</v>
      </c>
      <c r="G14" s="53"/>
      <c r="H14" s="170">
        <v>80</v>
      </c>
      <c r="I14" s="24">
        <f aca="true" t="shared" si="0" ref="I14:I37">H14/1776</f>
        <v>0.04504504504504504</v>
      </c>
      <c r="J14" s="41" t="s">
        <v>209</v>
      </c>
    </row>
    <row r="15" spans="1:10" ht="22.5">
      <c r="A15" s="6">
        <v>4.2</v>
      </c>
      <c r="B15" s="6" t="s">
        <v>113</v>
      </c>
      <c r="C15" s="43" t="s">
        <v>42</v>
      </c>
      <c r="D15" s="44" t="s">
        <v>101</v>
      </c>
      <c r="E15" s="103">
        <f>+E13</f>
        <v>1044</v>
      </c>
      <c r="F15" s="27">
        <v>0.2</v>
      </c>
      <c r="G15" s="53"/>
      <c r="H15" s="170">
        <v>20</v>
      </c>
      <c r="I15" s="24">
        <f t="shared" si="0"/>
        <v>0.01126126126126126</v>
      </c>
      <c r="J15" s="41" t="s">
        <v>64</v>
      </c>
    </row>
    <row r="16" spans="1:10" ht="12.75">
      <c r="A16" s="6">
        <v>4.2</v>
      </c>
      <c r="B16" s="6" t="s">
        <v>118</v>
      </c>
      <c r="C16" s="43" t="s">
        <v>43</v>
      </c>
      <c r="D16" s="50"/>
      <c r="E16" s="120">
        <f>+E12</f>
        <v>1044</v>
      </c>
      <c r="F16" s="20"/>
      <c r="G16" s="53"/>
      <c r="H16" s="172"/>
      <c r="I16" s="47"/>
      <c r="J16" s="54"/>
    </row>
    <row r="17" spans="1:10" ht="12.75">
      <c r="A17" s="6">
        <v>4.2</v>
      </c>
      <c r="B17" s="6" t="s">
        <v>118</v>
      </c>
      <c r="C17" s="43" t="s">
        <v>43</v>
      </c>
      <c r="D17" s="44" t="s">
        <v>100</v>
      </c>
      <c r="E17" s="103">
        <f>+E16</f>
        <v>1044</v>
      </c>
      <c r="F17" s="27">
        <v>0.8</v>
      </c>
      <c r="G17" s="9">
        <v>2.5</v>
      </c>
      <c r="H17" s="170">
        <f>+G17*F17*E17</f>
        <v>2088</v>
      </c>
      <c r="I17" s="24">
        <f t="shared" si="0"/>
        <v>1.1756756756756757</v>
      </c>
      <c r="J17" s="41" t="s">
        <v>210</v>
      </c>
    </row>
    <row r="18" spans="1:10" ht="12.75">
      <c r="A18" s="6">
        <v>4.2</v>
      </c>
      <c r="B18" s="6" t="s">
        <v>118</v>
      </c>
      <c r="C18" s="43" t="s">
        <v>43</v>
      </c>
      <c r="D18" s="44" t="s">
        <v>101</v>
      </c>
      <c r="E18" s="103">
        <f>+E16</f>
        <v>1044</v>
      </c>
      <c r="F18" s="27">
        <v>0.2</v>
      </c>
      <c r="G18" s="9">
        <v>2.5</v>
      </c>
      <c r="H18" s="170">
        <f>+G18*F18*E18</f>
        <v>522</v>
      </c>
      <c r="I18" s="24">
        <f t="shared" si="0"/>
        <v>0.2939189189189189</v>
      </c>
      <c r="J18" s="41" t="s">
        <v>210</v>
      </c>
    </row>
    <row r="19" spans="1:10" ht="12.75">
      <c r="A19" s="6">
        <v>4.2</v>
      </c>
      <c r="B19" s="6" t="s">
        <v>119</v>
      </c>
      <c r="C19" s="43" t="s">
        <v>44</v>
      </c>
      <c r="D19" s="50"/>
      <c r="E19" s="120">
        <f>+E13</f>
        <v>1044</v>
      </c>
      <c r="F19" s="20"/>
      <c r="G19" s="108"/>
      <c r="H19" s="172"/>
      <c r="I19" s="47"/>
      <c r="J19" s="54"/>
    </row>
    <row r="20" spans="1:10" ht="22.5">
      <c r="A20" s="6">
        <v>4.2</v>
      </c>
      <c r="B20" s="6" t="s">
        <v>119</v>
      </c>
      <c r="C20" s="43" t="s">
        <v>44</v>
      </c>
      <c r="D20" s="44" t="s">
        <v>100</v>
      </c>
      <c r="E20" s="103">
        <f>+E19</f>
        <v>1044</v>
      </c>
      <c r="F20" s="152">
        <v>0.8</v>
      </c>
      <c r="G20" s="9">
        <v>10.92</v>
      </c>
      <c r="H20" s="173">
        <f>+G20*F20*E20</f>
        <v>9120.384</v>
      </c>
      <c r="I20" s="24">
        <f t="shared" si="0"/>
        <v>5.135351351351352</v>
      </c>
      <c r="J20" s="41" t="s">
        <v>219</v>
      </c>
    </row>
    <row r="21" spans="1:10" ht="22.5">
      <c r="A21" s="6">
        <v>4.2</v>
      </c>
      <c r="B21" s="6" t="s">
        <v>119</v>
      </c>
      <c r="C21" s="43" t="s">
        <v>44</v>
      </c>
      <c r="D21" s="44" t="s">
        <v>101</v>
      </c>
      <c r="E21" s="103">
        <f>+E19</f>
        <v>1044</v>
      </c>
      <c r="F21" s="152">
        <v>0.2</v>
      </c>
      <c r="G21" s="9">
        <v>10.92</v>
      </c>
      <c r="H21" s="173">
        <f>+G21*F21*E21</f>
        <v>2280.096</v>
      </c>
      <c r="I21" s="24">
        <f t="shared" si="0"/>
        <v>1.283837837837838</v>
      </c>
      <c r="J21" s="41" t="s">
        <v>219</v>
      </c>
    </row>
    <row r="22" spans="1:10" ht="12.75">
      <c r="A22" s="6">
        <v>4.2</v>
      </c>
      <c r="B22" s="6" t="s">
        <v>120</v>
      </c>
      <c r="C22" s="43" t="s">
        <v>45</v>
      </c>
      <c r="D22" s="50"/>
      <c r="E22" s="120">
        <f>+E13</f>
        <v>1044</v>
      </c>
      <c r="F22" s="20"/>
      <c r="G22" s="100"/>
      <c r="H22" s="172"/>
      <c r="I22" s="47"/>
      <c r="J22" s="54"/>
    </row>
    <row r="23" spans="1:10" ht="12.75">
      <c r="A23" s="6">
        <v>4.2</v>
      </c>
      <c r="B23" s="6" t="s">
        <v>120</v>
      </c>
      <c r="C23" s="43" t="s">
        <v>45</v>
      </c>
      <c r="D23" s="44" t="s">
        <v>100</v>
      </c>
      <c r="E23" s="103">
        <f>+E22</f>
        <v>1044</v>
      </c>
      <c r="F23" s="27">
        <v>0.8</v>
      </c>
      <c r="G23" s="9">
        <v>4</v>
      </c>
      <c r="H23" s="170">
        <f>+G23*F23*E23</f>
        <v>3340.8</v>
      </c>
      <c r="I23" s="24">
        <f t="shared" si="0"/>
        <v>1.8810810810810812</v>
      </c>
      <c r="J23" s="41" t="s">
        <v>210</v>
      </c>
    </row>
    <row r="24" spans="1:10" ht="13.5" thickBot="1">
      <c r="A24" s="6">
        <v>4.2</v>
      </c>
      <c r="B24" s="6" t="s">
        <v>120</v>
      </c>
      <c r="C24" s="43" t="s">
        <v>45</v>
      </c>
      <c r="D24" s="44" t="s">
        <v>101</v>
      </c>
      <c r="E24" s="103">
        <f>+E22</f>
        <v>1044</v>
      </c>
      <c r="F24" s="27">
        <v>0.2</v>
      </c>
      <c r="G24" s="9">
        <v>4</v>
      </c>
      <c r="H24" s="170">
        <f>+G24*F24*E24</f>
        <v>835.2</v>
      </c>
      <c r="I24" s="24">
        <f t="shared" si="0"/>
        <v>0.4702702702702703</v>
      </c>
      <c r="J24" s="41" t="s">
        <v>210</v>
      </c>
    </row>
    <row r="25" spans="1:10" ht="25.5">
      <c r="A25" s="71">
        <v>4.3</v>
      </c>
      <c r="B25" s="71">
        <v>4.3</v>
      </c>
      <c r="C25" s="72" t="s">
        <v>3</v>
      </c>
      <c r="D25" s="73"/>
      <c r="E25" s="74"/>
      <c r="F25" s="75"/>
      <c r="G25" s="76"/>
      <c r="H25" s="162"/>
      <c r="I25" s="77"/>
      <c r="J25" s="78"/>
    </row>
    <row r="26" spans="1:10" ht="25.5">
      <c r="A26" s="6">
        <v>4.3</v>
      </c>
      <c r="B26" s="6" t="s">
        <v>187</v>
      </c>
      <c r="C26" s="43" t="s">
        <v>46</v>
      </c>
      <c r="D26" s="55"/>
      <c r="E26" s="12">
        <v>147</v>
      </c>
      <c r="F26" s="20"/>
      <c r="G26" s="53"/>
      <c r="H26" s="172"/>
      <c r="I26" s="47"/>
      <c r="J26" s="54"/>
    </row>
    <row r="27" spans="1:10" ht="25.5">
      <c r="A27" s="6">
        <v>4.3</v>
      </c>
      <c r="B27" s="6" t="s">
        <v>187</v>
      </c>
      <c r="C27" s="43" t="s">
        <v>46</v>
      </c>
      <c r="D27" s="3" t="s">
        <v>99</v>
      </c>
      <c r="E27" s="117">
        <f>+E26</f>
        <v>147</v>
      </c>
      <c r="F27" s="27">
        <v>0.5</v>
      </c>
      <c r="G27" s="9">
        <v>2.4</v>
      </c>
      <c r="H27" s="170">
        <f>+G27*F27*E27</f>
        <v>176.4</v>
      </c>
      <c r="I27" s="24">
        <f t="shared" si="0"/>
        <v>0.09932432432432432</v>
      </c>
      <c r="J27" s="41" t="s">
        <v>131</v>
      </c>
    </row>
    <row r="28" spans="1:10" ht="25.5">
      <c r="A28" s="6">
        <v>4.3</v>
      </c>
      <c r="B28" s="6" t="s">
        <v>187</v>
      </c>
      <c r="C28" s="43" t="s">
        <v>46</v>
      </c>
      <c r="D28" s="3" t="s">
        <v>105</v>
      </c>
      <c r="E28" s="117">
        <f>+E26</f>
        <v>147</v>
      </c>
      <c r="F28" s="27">
        <v>0.25</v>
      </c>
      <c r="G28" s="9">
        <v>2.4</v>
      </c>
      <c r="H28" s="170">
        <f>+G28*F28*E28</f>
        <v>88.2</v>
      </c>
      <c r="I28" s="24">
        <f t="shared" si="0"/>
        <v>0.04966216216216216</v>
      </c>
      <c r="J28" s="41" t="s">
        <v>131</v>
      </c>
    </row>
    <row r="29" spans="1:10" ht="25.5">
      <c r="A29" s="6">
        <v>4.3</v>
      </c>
      <c r="B29" s="6" t="s">
        <v>187</v>
      </c>
      <c r="C29" s="43" t="s">
        <v>46</v>
      </c>
      <c r="D29" s="3" t="s">
        <v>106</v>
      </c>
      <c r="E29" s="117">
        <f>E26</f>
        <v>147</v>
      </c>
      <c r="F29" s="27">
        <v>0.25</v>
      </c>
      <c r="G29" s="9">
        <v>2.4</v>
      </c>
      <c r="H29" s="170">
        <f>+G29*F29*E29</f>
        <v>88.2</v>
      </c>
      <c r="I29" s="24">
        <f t="shared" si="0"/>
        <v>0.04966216216216216</v>
      </c>
      <c r="J29" s="41" t="s">
        <v>131</v>
      </c>
    </row>
    <row r="30" spans="1:10" ht="25.5">
      <c r="A30" s="6">
        <v>4.3</v>
      </c>
      <c r="B30" s="6" t="s">
        <v>188</v>
      </c>
      <c r="C30" s="43" t="s">
        <v>174</v>
      </c>
      <c r="D30" s="55"/>
      <c r="E30" s="12">
        <v>170</v>
      </c>
      <c r="F30" s="20"/>
      <c r="G30" s="53"/>
      <c r="H30" s="172"/>
      <c r="I30" s="47"/>
      <c r="J30" s="41" t="s">
        <v>132</v>
      </c>
    </row>
    <row r="31" spans="1:10" ht="25.5">
      <c r="A31" s="6">
        <v>4.3</v>
      </c>
      <c r="B31" s="6" t="s">
        <v>188</v>
      </c>
      <c r="C31" s="43" t="s">
        <v>174</v>
      </c>
      <c r="D31" s="3" t="s">
        <v>99</v>
      </c>
      <c r="E31" s="117">
        <f>+E$30*0.5</f>
        <v>85</v>
      </c>
      <c r="F31" s="27">
        <v>0.5</v>
      </c>
      <c r="G31" s="9">
        <v>3.54</v>
      </c>
      <c r="H31" s="170">
        <f>+G31*F31*E31</f>
        <v>150.45</v>
      </c>
      <c r="I31" s="24">
        <f t="shared" si="0"/>
        <v>0.08471283783783783</v>
      </c>
      <c r="J31" s="41" t="s">
        <v>131</v>
      </c>
    </row>
    <row r="32" spans="1:10" ht="25.5">
      <c r="A32" s="6">
        <v>4.3</v>
      </c>
      <c r="B32" s="6" t="s">
        <v>188</v>
      </c>
      <c r="C32" s="43" t="s">
        <v>174</v>
      </c>
      <c r="D32" s="3" t="s">
        <v>105</v>
      </c>
      <c r="E32" s="117">
        <f>+E$30*0.5</f>
        <v>85</v>
      </c>
      <c r="F32" s="27">
        <v>0.25</v>
      </c>
      <c r="G32" s="9">
        <v>3.54</v>
      </c>
      <c r="H32" s="170">
        <f>+G32*F32*E32</f>
        <v>75.225</v>
      </c>
      <c r="I32" s="24">
        <f t="shared" si="0"/>
        <v>0.04235641891891891</v>
      </c>
      <c r="J32" s="41" t="s">
        <v>131</v>
      </c>
    </row>
    <row r="33" spans="1:10" ht="25.5">
      <c r="A33" s="6">
        <v>4.3</v>
      </c>
      <c r="B33" s="6" t="s">
        <v>188</v>
      </c>
      <c r="C33" s="43" t="s">
        <v>174</v>
      </c>
      <c r="D33" s="3" t="s">
        <v>106</v>
      </c>
      <c r="E33" s="117">
        <f>+E$30*0.5</f>
        <v>85</v>
      </c>
      <c r="F33" s="27">
        <v>0.25</v>
      </c>
      <c r="G33" s="9">
        <v>3.54</v>
      </c>
      <c r="H33" s="170">
        <f>+G33*F33*E33</f>
        <v>75.225</v>
      </c>
      <c r="I33" s="24">
        <f t="shared" si="0"/>
        <v>0.04235641891891891</v>
      </c>
      <c r="J33" s="41" t="s">
        <v>131</v>
      </c>
    </row>
    <row r="34" spans="1:10" ht="38.25">
      <c r="A34" s="6">
        <v>4.3</v>
      </c>
      <c r="B34" s="6" t="s">
        <v>188</v>
      </c>
      <c r="C34" s="43" t="s">
        <v>175</v>
      </c>
      <c r="D34" s="55"/>
      <c r="E34" s="12">
        <f>+E30</f>
        <v>170</v>
      </c>
      <c r="F34" s="20"/>
      <c r="G34" s="53"/>
      <c r="H34" s="172"/>
      <c r="I34" s="47"/>
      <c r="J34" s="41" t="s">
        <v>211</v>
      </c>
    </row>
    <row r="35" spans="1:10" ht="38.25">
      <c r="A35" s="6">
        <v>4.3</v>
      </c>
      <c r="B35" s="6" t="s">
        <v>188</v>
      </c>
      <c r="C35" s="43" t="s">
        <v>175</v>
      </c>
      <c r="D35" s="3" t="s">
        <v>99</v>
      </c>
      <c r="E35" s="117">
        <f>+E$34*0.5</f>
        <v>85</v>
      </c>
      <c r="F35" s="27">
        <v>0.5</v>
      </c>
      <c r="G35" s="9">
        <v>1.94</v>
      </c>
      <c r="H35" s="170">
        <f>+G35*F35*E35</f>
        <v>82.45</v>
      </c>
      <c r="I35" s="24">
        <f t="shared" si="0"/>
        <v>0.046424549549549554</v>
      </c>
      <c r="J35" s="41" t="s">
        <v>131</v>
      </c>
    </row>
    <row r="36" spans="1:10" ht="38.25">
      <c r="A36" s="6">
        <v>4.3</v>
      </c>
      <c r="B36" s="6" t="s">
        <v>188</v>
      </c>
      <c r="C36" s="43" t="s">
        <v>175</v>
      </c>
      <c r="D36" s="3" t="s">
        <v>105</v>
      </c>
      <c r="E36" s="117">
        <f>+E$34*0.5</f>
        <v>85</v>
      </c>
      <c r="F36" s="27">
        <v>0.25</v>
      </c>
      <c r="G36" s="9">
        <v>1.94</v>
      </c>
      <c r="H36" s="170">
        <f>+G36*F36*E36</f>
        <v>41.225</v>
      </c>
      <c r="I36" s="24">
        <f t="shared" si="0"/>
        <v>0.023212274774774777</v>
      </c>
      <c r="J36" s="41" t="s">
        <v>131</v>
      </c>
    </row>
    <row r="37" spans="1:10" ht="39" thickBot="1">
      <c r="A37" s="6">
        <v>4.3</v>
      </c>
      <c r="B37" s="6" t="s">
        <v>188</v>
      </c>
      <c r="C37" s="43" t="s">
        <v>175</v>
      </c>
      <c r="D37" s="80" t="s">
        <v>106</v>
      </c>
      <c r="E37" s="117">
        <f>+E$34*0.5</f>
        <v>85</v>
      </c>
      <c r="F37" s="67">
        <v>0.25</v>
      </c>
      <c r="G37" s="68">
        <v>1.94</v>
      </c>
      <c r="H37" s="170">
        <f>+G37*F37*E37</f>
        <v>41.225</v>
      </c>
      <c r="I37" s="69">
        <f t="shared" si="0"/>
        <v>0.023212274774774777</v>
      </c>
      <c r="J37" s="41" t="s">
        <v>131</v>
      </c>
    </row>
    <row r="38" spans="1:10" ht="25.5">
      <c r="A38" s="71">
        <v>4.4</v>
      </c>
      <c r="B38" s="71">
        <v>4.4</v>
      </c>
      <c r="C38" s="79" t="s">
        <v>4</v>
      </c>
      <c r="D38" s="73"/>
      <c r="E38" s="74"/>
      <c r="F38" s="75"/>
      <c r="G38" s="76"/>
      <c r="H38" s="162"/>
      <c r="I38" s="77"/>
      <c r="J38" s="78"/>
    </row>
    <row r="39" spans="1:10" ht="51">
      <c r="A39" s="6">
        <v>4.4</v>
      </c>
      <c r="B39" s="6">
        <v>4.4</v>
      </c>
      <c r="C39" s="43" t="s">
        <v>5</v>
      </c>
      <c r="D39" s="50"/>
      <c r="E39" s="12">
        <v>157</v>
      </c>
      <c r="F39" s="19"/>
      <c r="G39" s="53"/>
      <c r="H39" s="172"/>
      <c r="I39" s="47"/>
      <c r="J39" s="54"/>
    </row>
    <row r="40" spans="1:10" ht="12.75">
      <c r="A40" s="6">
        <v>4.4</v>
      </c>
      <c r="B40" s="6" t="s">
        <v>114</v>
      </c>
      <c r="C40" s="43" t="s">
        <v>47</v>
      </c>
      <c r="D40" s="50"/>
      <c r="E40" s="12">
        <f>+E39</f>
        <v>157</v>
      </c>
      <c r="F40" s="20">
        <v>0.85</v>
      </c>
      <c r="G40" s="53"/>
      <c r="H40" s="172"/>
      <c r="I40" s="47"/>
      <c r="J40" s="41" t="s">
        <v>70</v>
      </c>
    </row>
    <row r="41" spans="1:10" ht="12.75">
      <c r="A41" s="6">
        <v>4.4</v>
      </c>
      <c r="B41" s="6" t="s">
        <v>114</v>
      </c>
      <c r="C41" s="43" t="s">
        <v>47</v>
      </c>
      <c r="D41" s="44" t="s">
        <v>6</v>
      </c>
      <c r="E41" s="118">
        <f>+E$40*F$40</f>
        <v>133.45</v>
      </c>
      <c r="F41" s="27">
        <v>0.25</v>
      </c>
      <c r="G41" s="9">
        <v>4.49</v>
      </c>
      <c r="H41" s="170">
        <f>+G41*F41*E41</f>
        <v>149.79762499999998</v>
      </c>
      <c r="I41" s="24">
        <f aca="true" t="shared" si="1" ref="I41:I60">H41/1776</f>
        <v>0.08434550957207206</v>
      </c>
      <c r="J41" s="41" t="s">
        <v>91</v>
      </c>
    </row>
    <row r="42" spans="1:10" ht="12.75">
      <c r="A42" s="6">
        <v>4.4</v>
      </c>
      <c r="B42" s="6" t="s">
        <v>114</v>
      </c>
      <c r="C42" s="43" t="s">
        <v>47</v>
      </c>
      <c r="D42" s="44" t="s">
        <v>60</v>
      </c>
      <c r="E42" s="118">
        <f>+E$40*F$40</f>
        <v>133.45</v>
      </c>
      <c r="F42" s="27">
        <v>0.25</v>
      </c>
      <c r="G42" s="9">
        <v>4.49</v>
      </c>
      <c r="H42" s="170">
        <f>+G42*F42*E42</f>
        <v>149.79762499999998</v>
      </c>
      <c r="I42" s="24">
        <f t="shared" si="1"/>
        <v>0.08434550957207206</v>
      </c>
      <c r="J42" s="41" t="s">
        <v>91</v>
      </c>
    </row>
    <row r="43" spans="1:10" ht="12.75">
      <c r="A43" s="6">
        <v>4.4</v>
      </c>
      <c r="B43" s="6" t="s">
        <v>114</v>
      </c>
      <c r="C43" s="43" t="s">
        <v>47</v>
      </c>
      <c r="D43" s="44" t="s">
        <v>89</v>
      </c>
      <c r="E43" s="118">
        <f>+E$40*F$40</f>
        <v>133.45</v>
      </c>
      <c r="F43" s="27">
        <v>0.5</v>
      </c>
      <c r="G43" s="9">
        <v>4.49</v>
      </c>
      <c r="H43" s="170">
        <f>+G43*F43*E43</f>
        <v>299.59524999999996</v>
      </c>
      <c r="I43" s="24">
        <f t="shared" si="1"/>
        <v>0.1686910191441441</v>
      </c>
      <c r="J43" s="41" t="s">
        <v>90</v>
      </c>
    </row>
    <row r="44" spans="1:10" ht="12.75">
      <c r="A44" s="96">
        <v>4.4</v>
      </c>
      <c r="B44" s="96" t="s">
        <v>116</v>
      </c>
      <c r="C44" s="97" t="s">
        <v>115</v>
      </c>
      <c r="D44" s="98"/>
      <c r="E44" s="12">
        <f>+E39</f>
        <v>157</v>
      </c>
      <c r="F44" s="99">
        <v>0.15</v>
      </c>
      <c r="G44" s="100"/>
      <c r="H44" s="134"/>
      <c r="I44" s="101"/>
      <c r="J44" s="41" t="s">
        <v>117</v>
      </c>
    </row>
    <row r="45" spans="1:10" ht="12.75">
      <c r="A45" s="96">
        <v>4.4</v>
      </c>
      <c r="B45" s="96" t="s">
        <v>116</v>
      </c>
      <c r="C45" s="97" t="s">
        <v>115</v>
      </c>
      <c r="D45" s="44" t="s">
        <v>6</v>
      </c>
      <c r="E45" s="118">
        <f>+E$40*F$44</f>
        <v>23.55</v>
      </c>
      <c r="F45" s="27">
        <v>0.25</v>
      </c>
      <c r="G45" s="9">
        <v>5.18</v>
      </c>
      <c r="H45" s="170">
        <f>+G45*F45*E45</f>
        <v>30.497249999999998</v>
      </c>
      <c r="I45" s="24">
        <f t="shared" si="1"/>
        <v>0.017171875</v>
      </c>
      <c r="J45" s="41" t="s">
        <v>91</v>
      </c>
    </row>
    <row r="46" spans="1:10" ht="12.75">
      <c r="A46" s="96">
        <v>4.4</v>
      </c>
      <c r="B46" s="96" t="s">
        <v>116</v>
      </c>
      <c r="C46" s="97" t="s">
        <v>115</v>
      </c>
      <c r="D46" s="44" t="s">
        <v>60</v>
      </c>
      <c r="E46" s="118">
        <f>+E$40*F$44</f>
        <v>23.55</v>
      </c>
      <c r="F46" s="27">
        <v>0.25</v>
      </c>
      <c r="G46" s="9">
        <v>5.18</v>
      </c>
      <c r="H46" s="170">
        <f>+G46*F46*E46</f>
        <v>30.497249999999998</v>
      </c>
      <c r="I46" s="24">
        <f t="shared" si="1"/>
        <v>0.017171875</v>
      </c>
      <c r="J46" s="41" t="s">
        <v>91</v>
      </c>
    </row>
    <row r="47" spans="1:10" ht="13.5" thickBot="1">
      <c r="A47" s="96">
        <v>4.4</v>
      </c>
      <c r="B47" s="96" t="s">
        <v>116</v>
      </c>
      <c r="C47" s="97" t="s">
        <v>115</v>
      </c>
      <c r="D47" s="44" t="s">
        <v>89</v>
      </c>
      <c r="E47" s="119">
        <f>+E$40*F$44</f>
        <v>23.55</v>
      </c>
      <c r="F47" s="27">
        <v>0.5</v>
      </c>
      <c r="G47" s="9">
        <v>5.18</v>
      </c>
      <c r="H47" s="170">
        <f>+G47*F47*E47</f>
        <v>60.994499999999995</v>
      </c>
      <c r="I47" s="24">
        <f t="shared" si="1"/>
        <v>0.03434375</v>
      </c>
      <c r="J47" s="41" t="s">
        <v>90</v>
      </c>
    </row>
    <row r="48" spans="1:10" ht="25.5">
      <c r="A48" s="71">
        <v>4.5</v>
      </c>
      <c r="B48" s="71">
        <v>4.5</v>
      </c>
      <c r="C48" s="79" t="s">
        <v>7</v>
      </c>
      <c r="D48" s="73"/>
      <c r="E48" s="104">
        <v>28</v>
      </c>
      <c r="F48" s="75"/>
      <c r="G48" s="76"/>
      <c r="H48" s="162"/>
      <c r="I48" s="77"/>
      <c r="J48" s="78"/>
    </row>
    <row r="49" spans="1:10" ht="25.5">
      <c r="A49" s="6">
        <v>4.5</v>
      </c>
      <c r="B49" s="6" t="s">
        <v>189</v>
      </c>
      <c r="C49" s="43" t="s">
        <v>8</v>
      </c>
      <c r="D49" s="3" t="s">
        <v>99</v>
      </c>
      <c r="E49" s="21">
        <f>+E48</f>
        <v>28</v>
      </c>
      <c r="F49" s="27">
        <v>0.5</v>
      </c>
      <c r="G49" s="9">
        <v>2</v>
      </c>
      <c r="H49" s="170">
        <f>+G49*F49*E49</f>
        <v>28</v>
      </c>
      <c r="I49" s="24">
        <f t="shared" si="1"/>
        <v>0.015765765765765764</v>
      </c>
      <c r="J49" s="41" t="s">
        <v>133</v>
      </c>
    </row>
    <row r="50" spans="1:10" ht="25.5">
      <c r="A50" s="6">
        <v>4.5</v>
      </c>
      <c r="B50" s="6" t="s">
        <v>189</v>
      </c>
      <c r="C50" s="43" t="s">
        <v>8</v>
      </c>
      <c r="D50" s="3" t="s">
        <v>105</v>
      </c>
      <c r="E50" s="21">
        <f>+E48</f>
        <v>28</v>
      </c>
      <c r="F50" s="27">
        <v>0.5</v>
      </c>
      <c r="G50" s="9">
        <v>2</v>
      </c>
      <c r="H50" s="170">
        <f>+G50*F50*E50</f>
        <v>28</v>
      </c>
      <c r="I50" s="24">
        <f t="shared" si="1"/>
        <v>0.015765765765765764</v>
      </c>
      <c r="J50" s="41" t="s">
        <v>134</v>
      </c>
    </row>
    <row r="51" spans="1:10" ht="38.25">
      <c r="A51" s="6">
        <v>4.5</v>
      </c>
      <c r="B51" s="6" t="s">
        <v>190</v>
      </c>
      <c r="C51" s="43" t="s">
        <v>9</v>
      </c>
      <c r="D51" s="55"/>
      <c r="E51" s="12">
        <v>1040</v>
      </c>
      <c r="F51" s="20"/>
      <c r="G51" s="53"/>
      <c r="H51" s="172"/>
      <c r="I51" s="47"/>
      <c r="J51" s="54"/>
    </row>
    <row r="52" spans="1:10" ht="38.25">
      <c r="A52" s="6">
        <v>4.5</v>
      </c>
      <c r="B52" s="6" t="s">
        <v>190</v>
      </c>
      <c r="C52" s="43" t="s">
        <v>9</v>
      </c>
      <c r="D52" s="3" t="s">
        <v>99</v>
      </c>
      <c r="E52" s="21">
        <f>+E51</f>
        <v>1040</v>
      </c>
      <c r="F52" s="27">
        <v>0.5</v>
      </c>
      <c r="G52" s="9">
        <v>0.75</v>
      </c>
      <c r="H52" s="170">
        <f>+G52*F52*E52</f>
        <v>390</v>
      </c>
      <c r="I52" s="24">
        <f t="shared" si="1"/>
        <v>0.2195945945945946</v>
      </c>
      <c r="J52" s="41" t="s">
        <v>210</v>
      </c>
    </row>
    <row r="53" spans="1:10" ht="38.25">
      <c r="A53" s="6">
        <v>4.5</v>
      </c>
      <c r="B53" s="6" t="s">
        <v>190</v>
      </c>
      <c r="C53" s="43" t="s">
        <v>9</v>
      </c>
      <c r="D53" s="3" t="s">
        <v>105</v>
      </c>
      <c r="E53" s="21">
        <f>+E51</f>
        <v>1040</v>
      </c>
      <c r="F53" s="27">
        <v>0.5</v>
      </c>
      <c r="G53" s="9">
        <v>0.75</v>
      </c>
      <c r="H53" s="170">
        <f>+G53*F53*E53</f>
        <v>390</v>
      </c>
      <c r="I53" s="24">
        <f t="shared" si="1"/>
        <v>0.2195945945945946</v>
      </c>
      <c r="J53" s="41" t="s">
        <v>210</v>
      </c>
    </row>
    <row r="54" spans="1:10" ht="25.5">
      <c r="A54" s="6">
        <v>4.5</v>
      </c>
      <c r="B54" s="6" t="s">
        <v>191</v>
      </c>
      <c r="C54" s="43" t="s">
        <v>10</v>
      </c>
      <c r="D54" s="3" t="s">
        <v>99</v>
      </c>
      <c r="E54" s="21">
        <v>28</v>
      </c>
      <c r="F54" s="27">
        <v>1</v>
      </c>
      <c r="G54" s="9">
        <v>2</v>
      </c>
      <c r="H54" s="170">
        <f>+G54*F54*E54</f>
        <v>56</v>
      </c>
      <c r="I54" s="24">
        <f t="shared" si="1"/>
        <v>0.03153153153153153</v>
      </c>
      <c r="J54" s="41" t="s">
        <v>210</v>
      </c>
    </row>
    <row r="55" spans="1:10" ht="26.25" thickBot="1">
      <c r="A55" s="6">
        <v>4.5</v>
      </c>
      <c r="B55" s="6" t="s">
        <v>191</v>
      </c>
      <c r="C55" s="43" t="s">
        <v>10</v>
      </c>
      <c r="D55" s="3" t="s">
        <v>154</v>
      </c>
      <c r="E55" s="21">
        <f>+E54</f>
        <v>28</v>
      </c>
      <c r="F55" s="27">
        <v>1</v>
      </c>
      <c r="G55" s="9">
        <v>1</v>
      </c>
      <c r="H55" s="170">
        <f>+G55*F55*E55</f>
        <v>28</v>
      </c>
      <c r="I55" s="24">
        <f t="shared" si="1"/>
        <v>0.015765765765765764</v>
      </c>
      <c r="J55" s="41" t="s">
        <v>176</v>
      </c>
    </row>
    <row r="56" spans="1:10" ht="12.75">
      <c r="A56" s="71">
        <v>4.6</v>
      </c>
      <c r="B56" s="71">
        <v>4.6</v>
      </c>
      <c r="C56" s="79" t="s">
        <v>11</v>
      </c>
      <c r="D56" s="73"/>
      <c r="E56" s="74"/>
      <c r="F56" s="75"/>
      <c r="G56" s="76"/>
      <c r="H56" s="162"/>
      <c r="I56" s="77"/>
      <c r="J56" s="78"/>
    </row>
    <row r="57" spans="1:10" ht="12.75">
      <c r="A57" s="6">
        <v>4.6</v>
      </c>
      <c r="B57" s="6">
        <v>4.6</v>
      </c>
      <c r="C57" s="43" t="s">
        <v>12</v>
      </c>
      <c r="D57" s="55"/>
      <c r="E57" s="12">
        <v>225</v>
      </c>
      <c r="F57" s="19"/>
      <c r="G57" s="53"/>
      <c r="H57" s="172"/>
      <c r="I57" s="47"/>
      <c r="J57" s="54"/>
    </row>
    <row r="58" spans="1:10" ht="25.5">
      <c r="A58" s="6">
        <v>4.6</v>
      </c>
      <c r="B58" s="6" t="s">
        <v>121</v>
      </c>
      <c r="C58" s="43" t="s">
        <v>48</v>
      </c>
      <c r="D58" s="3" t="s">
        <v>99</v>
      </c>
      <c r="E58" s="21">
        <f>+E$57</f>
        <v>225</v>
      </c>
      <c r="F58" s="27">
        <v>0.5</v>
      </c>
      <c r="G58" s="9">
        <v>2.06</v>
      </c>
      <c r="H58" s="170">
        <f>+G58*F58*E58</f>
        <v>231.75</v>
      </c>
      <c r="I58" s="24">
        <f t="shared" si="1"/>
        <v>0.13048986486486486</v>
      </c>
      <c r="J58" s="41" t="s">
        <v>131</v>
      </c>
    </row>
    <row r="59" spans="1:10" ht="25.5">
      <c r="A59" s="6">
        <v>4.6</v>
      </c>
      <c r="B59" s="6" t="s">
        <v>121</v>
      </c>
      <c r="C59" s="43" t="s">
        <v>48</v>
      </c>
      <c r="D59" s="3" t="s">
        <v>105</v>
      </c>
      <c r="E59" s="21">
        <f>+E$57</f>
        <v>225</v>
      </c>
      <c r="F59" s="27">
        <v>0.25</v>
      </c>
      <c r="G59" s="9">
        <v>2.06</v>
      </c>
      <c r="H59" s="170">
        <f>+G59*F59*E59</f>
        <v>115.875</v>
      </c>
      <c r="I59" s="24">
        <f t="shared" si="1"/>
        <v>0.06524493243243243</v>
      </c>
      <c r="J59" s="41" t="s">
        <v>131</v>
      </c>
    </row>
    <row r="60" spans="1:10" ht="25.5">
      <c r="A60" s="6">
        <v>4.6</v>
      </c>
      <c r="B60" s="6" t="s">
        <v>121</v>
      </c>
      <c r="C60" s="43" t="s">
        <v>48</v>
      </c>
      <c r="D60" s="3" t="s">
        <v>106</v>
      </c>
      <c r="E60" s="21">
        <f>+E$57</f>
        <v>225</v>
      </c>
      <c r="F60" s="27">
        <v>0.25</v>
      </c>
      <c r="G60" s="9">
        <v>2.06</v>
      </c>
      <c r="H60" s="170">
        <f>+G60*F60*E60</f>
        <v>115.875</v>
      </c>
      <c r="I60" s="24">
        <f t="shared" si="1"/>
        <v>0.06524493243243243</v>
      </c>
      <c r="J60" s="41" t="s">
        <v>131</v>
      </c>
    </row>
    <row r="61" spans="1:10" ht="25.5">
      <c r="A61" s="6">
        <v>4.6</v>
      </c>
      <c r="B61" s="6" t="s">
        <v>138</v>
      </c>
      <c r="C61" s="43" t="s">
        <v>49</v>
      </c>
      <c r="D61" s="50"/>
      <c r="E61" s="12">
        <f>+E$57</f>
        <v>225</v>
      </c>
      <c r="F61" s="20">
        <v>0.1</v>
      </c>
      <c r="G61" s="53"/>
      <c r="H61" s="172"/>
      <c r="I61" s="47"/>
      <c r="J61" s="41" t="s">
        <v>164</v>
      </c>
    </row>
    <row r="62" spans="1:10" ht="33.75">
      <c r="A62" s="6">
        <v>4.6</v>
      </c>
      <c r="B62" s="6" t="s">
        <v>138</v>
      </c>
      <c r="C62" s="43" t="s">
        <v>49</v>
      </c>
      <c r="D62" s="44" t="s">
        <v>6</v>
      </c>
      <c r="E62" s="105">
        <f>+E$61*F$61</f>
        <v>22.5</v>
      </c>
      <c r="F62" s="27">
        <v>0.5</v>
      </c>
      <c r="G62" s="9">
        <v>4.2</v>
      </c>
      <c r="H62" s="170">
        <f>+G62*F62*E62</f>
        <v>47.25</v>
      </c>
      <c r="I62" s="24">
        <f>H62/1776</f>
        <v>0.02660472972972973</v>
      </c>
      <c r="J62" s="41" t="s">
        <v>135</v>
      </c>
    </row>
    <row r="63" spans="1:10" ht="33.75">
      <c r="A63" s="6">
        <v>4.6</v>
      </c>
      <c r="B63" s="6" t="s">
        <v>138</v>
      </c>
      <c r="C63" s="43" t="s">
        <v>49</v>
      </c>
      <c r="D63" s="44" t="s">
        <v>60</v>
      </c>
      <c r="E63" s="105">
        <f>+E$61*F$61</f>
        <v>22.5</v>
      </c>
      <c r="F63" s="27">
        <v>0.25</v>
      </c>
      <c r="G63" s="9">
        <v>4.2</v>
      </c>
      <c r="H63" s="170">
        <f>+G63*F63*E63</f>
        <v>23.625</v>
      </c>
      <c r="I63" s="24">
        <f>H63/1776</f>
        <v>0.013302364864864864</v>
      </c>
      <c r="J63" s="41" t="s">
        <v>136</v>
      </c>
    </row>
    <row r="64" spans="1:10" ht="34.5" thickBot="1">
      <c r="A64" s="6">
        <v>4.6</v>
      </c>
      <c r="B64" s="6" t="s">
        <v>138</v>
      </c>
      <c r="C64" s="43" t="s">
        <v>49</v>
      </c>
      <c r="D64" s="44" t="s">
        <v>89</v>
      </c>
      <c r="E64" s="105">
        <f>+E$61*F$61</f>
        <v>22.5</v>
      </c>
      <c r="F64" s="27">
        <v>0.25</v>
      </c>
      <c r="G64" s="9">
        <v>4.2</v>
      </c>
      <c r="H64" s="170">
        <f>+G64*F64*E64</f>
        <v>23.625</v>
      </c>
      <c r="I64" s="24">
        <f>H64/1776</f>
        <v>0.013302364864864864</v>
      </c>
      <c r="J64" s="41" t="s">
        <v>137</v>
      </c>
    </row>
    <row r="65" spans="1:10" ht="12.75">
      <c r="A65" s="71">
        <v>4.7</v>
      </c>
      <c r="B65" s="71">
        <v>4.7</v>
      </c>
      <c r="C65" s="72" t="s">
        <v>13</v>
      </c>
      <c r="D65" s="73"/>
      <c r="E65" s="74"/>
      <c r="F65" s="75"/>
      <c r="G65" s="76"/>
      <c r="H65" s="162"/>
      <c r="I65" s="77"/>
      <c r="J65" s="78"/>
    </row>
    <row r="66" spans="1:10" ht="12.75">
      <c r="A66" s="6">
        <v>4.7</v>
      </c>
      <c r="B66" s="6" t="s">
        <v>192</v>
      </c>
      <c r="C66" s="43" t="s">
        <v>14</v>
      </c>
      <c r="D66" s="50"/>
      <c r="E66" s="12">
        <v>1</v>
      </c>
      <c r="F66" s="19"/>
      <c r="G66" s="53"/>
      <c r="H66" s="172"/>
      <c r="I66" s="47"/>
      <c r="J66" s="41" t="s">
        <v>92</v>
      </c>
    </row>
    <row r="67" spans="1:10" ht="25.5">
      <c r="A67" s="6">
        <v>4.7</v>
      </c>
      <c r="B67" s="6" t="s">
        <v>192</v>
      </c>
      <c r="C67" s="43" t="s">
        <v>14</v>
      </c>
      <c r="D67" s="44" t="s">
        <v>202</v>
      </c>
      <c r="E67" s="28">
        <v>1</v>
      </c>
      <c r="F67" s="27">
        <v>1</v>
      </c>
      <c r="G67" s="53"/>
      <c r="H67" s="170">
        <v>20</v>
      </c>
      <c r="I67" s="24">
        <f aca="true" t="shared" si="2" ref="I67:I92">H67/1776</f>
        <v>0.01126126126126126</v>
      </c>
      <c r="J67" s="41"/>
    </row>
    <row r="68" spans="1:10" ht="25.5">
      <c r="A68" s="6">
        <v>4.7</v>
      </c>
      <c r="B68" s="6" t="s">
        <v>192</v>
      </c>
      <c r="C68" s="43" t="s">
        <v>14</v>
      </c>
      <c r="D68" s="44" t="s">
        <v>154</v>
      </c>
      <c r="E68" s="28">
        <v>1</v>
      </c>
      <c r="F68" s="27">
        <v>1</v>
      </c>
      <c r="G68" s="53"/>
      <c r="H68" s="170">
        <v>20</v>
      </c>
      <c r="I68" s="24">
        <f t="shared" si="2"/>
        <v>0.01126126126126126</v>
      </c>
      <c r="J68" s="41"/>
    </row>
    <row r="69" spans="1:10" ht="12.75">
      <c r="A69" s="6">
        <v>4.7</v>
      </c>
      <c r="B69" s="6" t="s">
        <v>192</v>
      </c>
      <c r="C69" s="43" t="s">
        <v>14</v>
      </c>
      <c r="D69" s="44" t="s">
        <v>153</v>
      </c>
      <c r="E69" s="28">
        <v>1</v>
      </c>
      <c r="F69" s="27">
        <v>1</v>
      </c>
      <c r="G69" s="53"/>
      <c r="H69" s="170">
        <v>20</v>
      </c>
      <c r="I69" s="24">
        <f t="shared" si="2"/>
        <v>0.01126126126126126</v>
      </c>
      <c r="J69" s="41"/>
    </row>
    <row r="70" spans="1:10" ht="25.5">
      <c r="A70" s="6">
        <v>4.7</v>
      </c>
      <c r="B70" s="6" t="s">
        <v>192</v>
      </c>
      <c r="C70" s="43" t="s">
        <v>14</v>
      </c>
      <c r="D70" s="44" t="s">
        <v>203</v>
      </c>
      <c r="E70" s="28">
        <v>1</v>
      </c>
      <c r="F70" s="27">
        <v>1</v>
      </c>
      <c r="G70" s="53"/>
      <c r="H70" s="170">
        <v>30</v>
      </c>
      <c r="I70" s="24">
        <f t="shared" si="2"/>
        <v>0.016891891891891893</v>
      </c>
      <c r="J70" s="41"/>
    </row>
    <row r="71" spans="1:10" ht="25.5">
      <c r="A71" s="6">
        <v>4.7</v>
      </c>
      <c r="B71" s="6" t="s">
        <v>192</v>
      </c>
      <c r="C71" s="43" t="s">
        <v>14</v>
      </c>
      <c r="D71" s="44" t="s">
        <v>61</v>
      </c>
      <c r="E71" s="28">
        <v>1</v>
      </c>
      <c r="F71" s="27">
        <v>1</v>
      </c>
      <c r="G71" s="53"/>
      <c r="H71" s="170">
        <v>30</v>
      </c>
      <c r="I71" s="24">
        <f t="shared" si="2"/>
        <v>0.016891891891891893</v>
      </c>
      <c r="J71" s="41"/>
    </row>
    <row r="72" spans="1:10" ht="25.5">
      <c r="A72" s="6">
        <v>4.7</v>
      </c>
      <c r="B72" s="6" t="s">
        <v>192</v>
      </c>
      <c r="C72" s="43" t="s">
        <v>14</v>
      </c>
      <c r="D72" s="44" t="s">
        <v>139</v>
      </c>
      <c r="E72" s="28">
        <v>1</v>
      </c>
      <c r="F72" s="27">
        <v>1</v>
      </c>
      <c r="G72" s="53"/>
      <c r="H72" s="170">
        <v>40</v>
      </c>
      <c r="I72" s="24">
        <f t="shared" si="2"/>
        <v>0.02252252252252252</v>
      </c>
      <c r="J72" s="41"/>
    </row>
    <row r="73" spans="1:10" ht="12.75">
      <c r="A73" s="6">
        <v>4.7</v>
      </c>
      <c r="B73" s="6" t="s">
        <v>192</v>
      </c>
      <c r="C73" s="43" t="s">
        <v>14</v>
      </c>
      <c r="D73" s="44" t="s">
        <v>6</v>
      </c>
      <c r="E73" s="28">
        <v>1</v>
      </c>
      <c r="F73" s="27">
        <v>1</v>
      </c>
      <c r="G73" s="53"/>
      <c r="H73" s="170">
        <v>20</v>
      </c>
      <c r="I73" s="24">
        <f t="shared" si="2"/>
        <v>0.01126126126126126</v>
      </c>
      <c r="J73" s="41"/>
    </row>
    <row r="74" spans="1:10" ht="14.25" customHeight="1">
      <c r="A74" s="6">
        <v>4.7</v>
      </c>
      <c r="B74" s="6" t="s">
        <v>192</v>
      </c>
      <c r="C74" s="43" t="s">
        <v>14</v>
      </c>
      <c r="D74" s="44" t="s">
        <v>105</v>
      </c>
      <c r="E74" s="28">
        <v>1</v>
      </c>
      <c r="F74" s="27">
        <v>1</v>
      </c>
      <c r="G74" s="53"/>
      <c r="H74" s="170">
        <v>20</v>
      </c>
      <c r="I74" s="24">
        <f t="shared" si="2"/>
        <v>0.01126126126126126</v>
      </c>
      <c r="J74" s="41"/>
    </row>
    <row r="75" spans="1:10" ht="63.75">
      <c r="A75" s="6">
        <v>4.7</v>
      </c>
      <c r="B75" s="6" t="s">
        <v>193</v>
      </c>
      <c r="C75" s="43" t="s">
        <v>15</v>
      </c>
      <c r="D75" s="50"/>
      <c r="E75" s="12">
        <v>12</v>
      </c>
      <c r="F75" s="19"/>
      <c r="G75" s="53"/>
      <c r="H75" s="172"/>
      <c r="I75" s="47"/>
      <c r="J75" s="167" t="s">
        <v>141</v>
      </c>
    </row>
    <row r="76" spans="1:10" ht="25.5">
      <c r="A76" s="6">
        <v>4.7</v>
      </c>
      <c r="B76" s="6" t="s">
        <v>193</v>
      </c>
      <c r="C76" s="43" t="s">
        <v>140</v>
      </c>
      <c r="D76" s="44" t="s">
        <v>202</v>
      </c>
      <c r="E76" s="28">
        <v>12</v>
      </c>
      <c r="F76" s="34">
        <v>1</v>
      </c>
      <c r="G76" s="35">
        <v>2.85</v>
      </c>
      <c r="H76" s="170">
        <f aca="true" t="shared" si="3" ref="H76:H92">+G76*F76*E76</f>
        <v>34.2</v>
      </c>
      <c r="I76" s="24">
        <f t="shared" si="2"/>
        <v>0.019256756756756758</v>
      </c>
      <c r="J76" s="42"/>
    </row>
    <row r="77" spans="1:10" ht="25.5">
      <c r="A77" s="6">
        <v>4.7</v>
      </c>
      <c r="B77" s="6" t="s">
        <v>193</v>
      </c>
      <c r="C77" s="43" t="s">
        <v>140</v>
      </c>
      <c r="D77" s="44" t="s">
        <v>154</v>
      </c>
      <c r="E77" s="28">
        <v>12</v>
      </c>
      <c r="F77" s="34">
        <v>1</v>
      </c>
      <c r="G77" s="35">
        <v>2.85</v>
      </c>
      <c r="H77" s="170">
        <f t="shared" si="3"/>
        <v>34.2</v>
      </c>
      <c r="I77" s="24">
        <f t="shared" si="2"/>
        <v>0.019256756756756758</v>
      </c>
      <c r="J77" s="42"/>
    </row>
    <row r="78" spans="1:10" ht="12.75">
      <c r="A78" s="6">
        <v>4.7</v>
      </c>
      <c r="B78" s="6" t="s">
        <v>193</v>
      </c>
      <c r="C78" s="43" t="s">
        <v>140</v>
      </c>
      <c r="D78" s="44" t="s">
        <v>153</v>
      </c>
      <c r="E78" s="28">
        <v>12</v>
      </c>
      <c r="F78" s="34">
        <v>1</v>
      </c>
      <c r="G78" s="35">
        <v>2.85</v>
      </c>
      <c r="H78" s="170">
        <f t="shared" si="3"/>
        <v>34.2</v>
      </c>
      <c r="I78" s="24">
        <f t="shared" si="2"/>
        <v>0.019256756756756758</v>
      </c>
      <c r="J78" s="42"/>
    </row>
    <row r="79" spans="1:10" ht="17.25" customHeight="1">
      <c r="A79" s="6">
        <v>4.7</v>
      </c>
      <c r="B79" s="6" t="s">
        <v>193</v>
      </c>
      <c r="C79" s="43" t="s">
        <v>140</v>
      </c>
      <c r="D79" s="44" t="s">
        <v>203</v>
      </c>
      <c r="E79" s="28">
        <v>12</v>
      </c>
      <c r="F79" s="34">
        <v>1</v>
      </c>
      <c r="G79" s="35">
        <v>2.85</v>
      </c>
      <c r="H79" s="170">
        <f t="shared" si="3"/>
        <v>34.2</v>
      </c>
      <c r="I79" s="24">
        <f t="shared" si="2"/>
        <v>0.019256756756756758</v>
      </c>
      <c r="J79" s="42"/>
    </row>
    <row r="80" spans="1:10" s="36" customFormat="1" ht="25.5">
      <c r="A80" s="6">
        <v>4.7</v>
      </c>
      <c r="B80" s="6" t="s">
        <v>193</v>
      </c>
      <c r="C80" s="43" t="s">
        <v>140</v>
      </c>
      <c r="D80" s="44" t="s">
        <v>61</v>
      </c>
      <c r="E80" s="28">
        <v>12</v>
      </c>
      <c r="F80" s="34">
        <v>1</v>
      </c>
      <c r="G80" s="35">
        <v>2.85</v>
      </c>
      <c r="H80" s="170">
        <f t="shared" si="3"/>
        <v>34.2</v>
      </c>
      <c r="I80" s="24">
        <f t="shared" si="2"/>
        <v>0.019256756756756758</v>
      </c>
      <c r="J80" s="42"/>
    </row>
    <row r="81" spans="1:10" s="36" customFormat="1" ht="25.5">
      <c r="A81" s="6">
        <v>4.7</v>
      </c>
      <c r="B81" s="6" t="s">
        <v>193</v>
      </c>
      <c r="C81" s="43" t="s">
        <v>140</v>
      </c>
      <c r="D81" s="44" t="s">
        <v>139</v>
      </c>
      <c r="E81" s="28">
        <v>12</v>
      </c>
      <c r="F81" s="34">
        <v>1</v>
      </c>
      <c r="G81" s="35">
        <v>5.7</v>
      </c>
      <c r="H81" s="170">
        <f t="shared" si="3"/>
        <v>68.4</v>
      </c>
      <c r="I81" s="24">
        <f t="shared" si="2"/>
        <v>0.038513513513513516</v>
      </c>
      <c r="J81" s="42"/>
    </row>
    <row r="82" spans="1:10" s="36" customFormat="1" ht="12.75">
      <c r="A82" s="6">
        <v>4.7</v>
      </c>
      <c r="B82" s="6" t="s">
        <v>193</v>
      </c>
      <c r="C82" s="43" t="s">
        <v>140</v>
      </c>
      <c r="D82" s="44" t="s">
        <v>6</v>
      </c>
      <c r="E82" s="28">
        <v>12</v>
      </c>
      <c r="F82" s="34">
        <v>1</v>
      </c>
      <c r="G82" s="35">
        <v>2.85</v>
      </c>
      <c r="H82" s="170">
        <f t="shared" si="3"/>
        <v>34.2</v>
      </c>
      <c r="I82" s="24">
        <f t="shared" si="2"/>
        <v>0.019256756756756758</v>
      </c>
      <c r="J82" s="42"/>
    </row>
    <row r="83" spans="1:10" s="36" customFormat="1" ht="25.5">
      <c r="A83" s="6">
        <v>4.7</v>
      </c>
      <c r="B83" s="6" t="s">
        <v>193</v>
      </c>
      <c r="C83" s="43" t="s">
        <v>140</v>
      </c>
      <c r="D83" s="44" t="s">
        <v>105</v>
      </c>
      <c r="E83" s="28">
        <v>12</v>
      </c>
      <c r="F83" s="34">
        <v>1</v>
      </c>
      <c r="G83" s="35">
        <v>2.85</v>
      </c>
      <c r="H83" s="170">
        <f t="shared" si="3"/>
        <v>34.2</v>
      </c>
      <c r="I83" s="24">
        <f t="shared" si="2"/>
        <v>0.019256756756756758</v>
      </c>
      <c r="J83" s="42"/>
    </row>
    <row r="84" spans="1:10" s="36" customFormat="1" ht="12.75">
      <c r="A84" s="6">
        <v>4.7</v>
      </c>
      <c r="B84" s="6" t="s">
        <v>194</v>
      </c>
      <c r="C84" s="43" t="s">
        <v>142</v>
      </c>
      <c r="D84" s="50"/>
      <c r="E84" s="12">
        <v>1</v>
      </c>
      <c r="F84" s="19"/>
      <c r="G84" s="19"/>
      <c r="H84" s="174">
        <f t="shared" si="3"/>
        <v>0</v>
      </c>
      <c r="I84" s="19">
        <f t="shared" si="2"/>
        <v>0</v>
      </c>
      <c r="J84" s="19"/>
    </row>
    <row r="85" spans="1:10" s="36" customFormat="1" ht="25.5">
      <c r="A85" s="6">
        <v>4.7</v>
      </c>
      <c r="B85" s="6" t="s">
        <v>194</v>
      </c>
      <c r="C85" s="43" t="s">
        <v>142</v>
      </c>
      <c r="D85" s="44" t="s">
        <v>202</v>
      </c>
      <c r="E85" s="28">
        <v>1</v>
      </c>
      <c r="F85" s="27">
        <v>1</v>
      </c>
      <c r="G85" s="9">
        <v>20</v>
      </c>
      <c r="H85" s="170">
        <f t="shared" si="3"/>
        <v>20</v>
      </c>
      <c r="I85" s="24">
        <f t="shared" si="2"/>
        <v>0.01126126126126126</v>
      </c>
      <c r="J85" s="41"/>
    </row>
    <row r="86" spans="1:10" s="36" customFormat="1" ht="25.5">
      <c r="A86" s="6">
        <v>4.7</v>
      </c>
      <c r="B86" s="6" t="s">
        <v>194</v>
      </c>
      <c r="C86" s="43" t="s">
        <v>142</v>
      </c>
      <c r="D86" s="44" t="s">
        <v>154</v>
      </c>
      <c r="E86" s="28">
        <v>1</v>
      </c>
      <c r="F86" s="27">
        <v>1</v>
      </c>
      <c r="G86" s="9">
        <v>20</v>
      </c>
      <c r="H86" s="170">
        <f t="shared" si="3"/>
        <v>20</v>
      </c>
      <c r="I86" s="24">
        <f t="shared" si="2"/>
        <v>0.01126126126126126</v>
      </c>
      <c r="J86" s="41"/>
    </row>
    <row r="87" spans="1:10" s="36" customFormat="1" ht="12.75">
      <c r="A87" s="6">
        <v>4.7</v>
      </c>
      <c r="B87" s="6" t="s">
        <v>194</v>
      </c>
      <c r="C87" s="43" t="s">
        <v>142</v>
      </c>
      <c r="D87" s="44" t="s">
        <v>153</v>
      </c>
      <c r="E87" s="28">
        <v>1</v>
      </c>
      <c r="F87" s="27">
        <v>1</v>
      </c>
      <c r="G87" s="9">
        <v>25</v>
      </c>
      <c r="H87" s="170">
        <f t="shared" si="3"/>
        <v>25</v>
      </c>
      <c r="I87" s="24">
        <f t="shared" si="2"/>
        <v>0.014076576576576577</v>
      </c>
      <c r="J87" s="41"/>
    </row>
    <row r="88" spans="1:10" ht="25.5">
      <c r="A88" s="6">
        <v>4.7</v>
      </c>
      <c r="B88" s="6" t="s">
        <v>194</v>
      </c>
      <c r="C88" s="43" t="s">
        <v>142</v>
      </c>
      <c r="D88" s="44" t="s">
        <v>203</v>
      </c>
      <c r="E88" s="28">
        <v>1</v>
      </c>
      <c r="F88" s="27">
        <v>1</v>
      </c>
      <c r="G88" s="9">
        <v>20</v>
      </c>
      <c r="H88" s="170">
        <f t="shared" si="3"/>
        <v>20</v>
      </c>
      <c r="I88" s="24">
        <f t="shared" si="2"/>
        <v>0.01126126126126126</v>
      </c>
      <c r="J88" s="41"/>
    </row>
    <row r="89" spans="1:10" ht="25.5">
      <c r="A89" s="6">
        <v>4.7</v>
      </c>
      <c r="B89" s="6" t="s">
        <v>194</v>
      </c>
      <c r="C89" s="43" t="s">
        <v>142</v>
      </c>
      <c r="D89" s="44" t="s">
        <v>61</v>
      </c>
      <c r="E89" s="28">
        <v>1</v>
      </c>
      <c r="F89" s="27">
        <v>1</v>
      </c>
      <c r="G89" s="9">
        <v>10</v>
      </c>
      <c r="H89" s="170">
        <f t="shared" si="3"/>
        <v>10</v>
      </c>
      <c r="I89" s="24">
        <f t="shared" si="2"/>
        <v>0.00563063063063063</v>
      </c>
      <c r="J89" s="41"/>
    </row>
    <row r="90" spans="1:10" ht="25.5">
      <c r="A90" s="6">
        <v>4.7</v>
      </c>
      <c r="B90" s="6" t="s">
        <v>194</v>
      </c>
      <c r="C90" s="43" t="s">
        <v>142</v>
      </c>
      <c r="D90" s="44" t="s">
        <v>139</v>
      </c>
      <c r="E90" s="28">
        <v>1</v>
      </c>
      <c r="F90" s="27">
        <v>1</v>
      </c>
      <c r="G90" s="9">
        <v>20</v>
      </c>
      <c r="H90" s="170">
        <f t="shared" si="3"/>
        <v>20</v>
      </c>
      <c r="I90" s="24">
        <f t="shared" si="2"/>
        <v>0.01126126126126126</v>
      </c>
      <c r="J90" s="41"/>
    </row>
    <row r="91" spans="1:10" ht="12.75">
      <c r="A91" s="6">
        <v>4.7</v>
      </c>
      <c r="B91" s="6" t="s">
        <v>194</v>
      </c>
      <c r="C91" s="43" t="s">
        <v>142</v>
      </c>
      <c r="D91" s="44" t="s">
        <v>6</v>
      </c>
      <c r="E91" s="28">
        <v>1</v>
      </c>
      <c r="F91" s="27">
        <v>1</v>
      </c>
      <c r="G91" s="9">
        <v>10</v>
      </c>
      <c r="H91" s="170">
        <f t="shared" si="3"/>
        <v>10</v>
      </c>
      <c r="I91" s="24">
        <f t="shared" si="2"/>
        <v>0.00563063063063063</v>
      </c>
      <c r="J91" s="41"/>
    </row>
    <row r="92" spans="1:10" ht="26.25" thickBot="1">
      <c r="A92" s="6">
        <v>4.7</v>
      </c>
      <c r="B92" s="6" t="s">
        <v>194</v>
      </c>
      <c r="C92" s="43" t="s">
        <v>142</v>
      </c>
      <c r="D92" s="44" t="s">
        <v>105</v>
      </c>
      <c r="E92" s="28">
        <v>1</v>
      </c>
      <c r="F92" s="27">
        <v>1</v>
      </c>
      <c r="G92" s="9">
        <v>10</v>
      </c>
      <c r="H92" s="170">
        <f t="shared" si="3"/>
        <v>10</v>
      </c>
      <c r="I92" s="24">
        <f t="shared" si="2"/>
        <v>0.00563063063063063</v>
      </c>
      <c r="J92" s="41"/>
    </row>
    <row r="93" spans="1:10" ht="12.75">
      <c r="A93" s="71">
        <v>4.8</v>
      </c>
      <c r="B93" s="71">
        <v>4.8</v>
      </c>
      <c r="C93" s="72" t="s">
        <v>16</v>
      </c>
      <c r="D93" s="73"/>
      <c r="E93" s="74"/>
      <c r="F93" s="75"/>
      <c r="G93" s="76"/>
      <c r="H93" s="162"/>
      <c r="I93" s="77"/>
      <c r="J93" s="78"/>
    </row>
    <row r="94" spans="1:10" ht="25.5">
      <c r="A94" s="6">
        <v>4.8</v>
      </c>
      <c r="B94" s="6">
        <v>4.8</v>
      </c>
      <c r="C94" s="43" t="s">
        <v>33</v>
      </c>
      <c r="D94" s="50"/>
      <c r="E94" s="12">
        <v>28</v>
      </c>
      <c r="F94" s="19"/>
      <c r="G94" s="53"/>
      <c r="H94" s="172"/>
      <c r="I94" s="47"/>
      <c r="J94" s="54"/>
    </row>
    <row r="95" spans="1:10" ht="25.5">
      <c r="A95" s="6">
        <v>4.8</v>
      </c>
      <c r="B95" s="6">
        <v>4.8</v>
      </c>
      <c r="C95" s="43" t="s">
        <v>33</v>
      </c>
      <c r="D95" s="44" t="s">
        <v>101</v>
      </c>
      <c r="E95" s="7">
        <f>+E$94</f>
        <v>28</v>
      </c>
      <c r="F95" s="27">
        <v>0.2</v>
      </c>
      <c r="G95" s="9">
        <v>11.73</v>
      </c>
      <c r="H95" s="170">
        <f>+G95*F95*E95</f>
        <v>65.688</v>
      </c>
      <c r="I95" s="24">
        <f aca="true" t="shared" si="4" ref="I95:I116">H95/1776</f>
        <v>0.03698648648648649</v>
      </c>
      <c r="J95" s="41"/>
    </row>
    <row r="96" spans="1:10" ht="25.5">
      <c r="A96" s="6">
        <v>4.8</v>
      </c>
      <c r="B96" s="6">
        <v>4.8</v>
      </c>
      <c r="C96" s="43" t="s">
        <v>33</v>
      </c>
      <c r="D96" s="3" t="s">
        <v>60</v>
      </c>
      <c r="E96" s="7">
        <f>+E$94</f>
        <v>28</v>
      </c>
      <c r="F96" s="27">
        <v>0.2</v>
      </c>
      <c r="G96" s="9">
        <v>11.73</v>
      </c>
      <c r="H96" s="170">
        <f>+G96*F96*E96</f>
        <v>65.688</v>
      </c>
      <c r="I96" s="24">
        <f t="shared" si="4"/>
        <v>0.03698648648648649</v>
      </c>
      <c r="J96" s="41"/>
    </row>
    <row r="97" spans="1:10" ht="25.5">
      <c r="A97" s="6">
        <v>4.8</v>
      </c>
      <c r="B97" s="6">
        <v>4.8</v>
      </c>
      <c r="C97" s="43" t="s">
        <v>33</v>
      </c>
      <c r="D97" s="3" t="s">
        <v>6</v>
      </c>
      <c r="E97" s="7">
        <f>+E$94</f>
        <v>28</v>
      </c>
      <c r="F97" s="27">
        <v>0.4</v>
      </c>
      <c r="G97" s="9">
        <v>11.73</v>
      </c>
      <c r="H97" s="170">
        <f>+G97*F97*E97</f>
        <v>131.376</v>
      </c>
      <c r="I97" s="24">
        <f t="shared" si="4"/>
        <v>0.07397297297297298</v>
      </c>
      <c r="J97" s="41"/>
    </row>
    <row r="98" spans="1:10" ht="26.25" thickBot="1">
      <c r="A98" s="6">
        <v>4.8</v>
      </c>
      <c r="B98" s="6">
        <v>4.8</v>
      </c>
      <c r="C98" s="43" t="s">
        <v>33</v>
      </c>
      <c r="D98" s="3" t="s">
        <v>61</v>
      </c>
      <c r="E98" s="7">
        <f>+E$94</f>
        <v>28</v>
      </c>
      <c r="F98" s="27">
        <v>0.2</v>
      </c>
      <c r="G98" s="9">
        <v>11.73</v>
      </c>
      <c r="H98" s="170">
        <f>+G98*F98*E98</f>
        <v>65.688</v>
      </c>
      <c r="I98" s="24">
        <f t="shared" si="4"/>
        <v>0.03698648648648649</v>
      </c>
      <c r="J98" s="41"/>
    </row>
    <row r="99" spans="1:10" ht="12.75">
      <c r="A99" s="71">
        <v>4.9</v>
      </c>
      <c r="B99" s="71">
        <v>4.9</v>
      </c>
      <c r="C99" s="79" t="s">
        <v>18</v>
      </c>
      <c r="D99" s="73"/>
      <c r="E99" s="74"/>
      <c r="F99" s="75"/>
      <c r="G99" s="76"/>
      <c r="H99" s="162"/>
      <c r="I99" s="77"/>
      <c r="J99" s="78"/>
    </row>
    <row r="100" spans="1:10" ht="38.25">
      <c r="A100" s="6">
        <v>4.9</v>
      </c>
      <c r="B100" s="6">
        <v>4.9</v>
      </c>
      <c r="C100" s="43" t="s">
        <v>34</v>
      </c>
      <c r="D100" s="50"/>
      <c r="E100" s="12">
        <v>19</v>
      </c>
      <c r="F100" s="19"/>
      <c r="G100" s="53"/>
      <c r="H100" s="172"/>
      <c r="I100" s="47"/>
      <c r="J100" s="54"/>
    </row>
    <row r="101" spans="1:10" ht="39" thickBot="1">
      <c r="A101" s="6">
        <v>4.9</v>
      </c>
      <c r="B101" s="6">
        <v>4.9</v>
      </c>
      <c r="C101" s="43" t="s">
        <v>34</v>
      </c>
      <c r="D101" s="3" t="s">
        <v>61</v>
      </c>
      <c r="E101" s="7">
        <f>+E100</f>
        <v>19</v>
      </c>
      <c r="F101" s="27">
        <v>1</v>
      </c>
      <c r="G101" s="9">
        <v>2.9</v>
      </c>
      <c r="H101" s="170">
        <f>+G101*F101*E101</f>
        <v>55.1</v>
      </c>
      <c r="I101" s="24">
        <f t="shared" si="4"/>
        <v>0.031024774774774777</v>
      </c>
      <c r="J101" s="41"/>
    </row>
    <row r="102" spans="1:10" ht="25.5">
      <c r="A102" s="153" t="s">
        <v>170</v>
      </c>
      <c r="B102" s="153" t="s">
        <v>170</v>
      </c>
      <c r="C102" s="72" t="s">
        <v>20</v>
      </c>
      <c r="D102" s="73"/>
      <c r="E102" s="74"/>
      <c r="F102" s="75"/>
      <c r="G102" s="76"/>
      <c r="H102" s="162"/>
      <c r="I102" s="77"/>
      <c r="J102" s="78"/>
    </row>
    <row r="103" spans="1:10" ht="51">
      <c r="A103" s="154" t="s">
        <v>170</v>
      </c>
      <c r="B103" s="154" t="s">
        <v>195</v>
      </c>
      <c r="C103" s="43" t="s">
        <v>35</v>
      </c>
      <c r="D103" s="50"/>
      <c r="E103" s="12">
        <v>260</v>
      </c>
      <c r="F103" s="19"/>
      <c r="G103" s="53"/>
      <c r="H103" s="172"/>
      <c r="I103" s="47"/>
      <c r="J103" s="54"/>
    </row>
    <row r="104" spans="1:10" ht="38.25">
      <c r="A104" s="154" t="s">
        <v>170</v>
      </c>
      <c r="B104" s="154" t="s">
        <v>196</v>
      </c>
      <c r="C104" s="43" t="s">
        <v>21</v>
      </c>
      <c r="D104" s="50"/>
      <c r="E104" s="12">
        <v>1017</v>
      </c>
      <c r="F104" s="19"/>
      <c r="G104" s="53"/>
      <c r="H104" s="172"/>
      <c r="I104" s="47"/>
      <c r="J104" s="54"/>
    </row>
    <row r="105" spans="1:10" ht="12.75">
      <c r="A105" s="154" t="s">
        <v>170</v>
      </c>
      <c r="B105" s="154" t="s">
        <v>196</v>
      </c>
      <c r="C105" s="43" t="s">
        <v>93</v>
      </c>
      <c r="D105" s="50"/>
      <c r="E105" s="12">
        <f>+E104</f>
        <v>1017</v>
      </c>
      <c r="F105" s="20"/>
      <c r="G105" s="53"/>
      <c r="H105" s="172"/>
      <c r="I105" s="47"/>
      <c r="J105" s="54"/>
    </row>
    <row r="106" spans="1:10" ht="22.5">
      <c r="A106" s="154" t="s">
        <v>170</v>
      </c>
      <c r="B106" s="154" t="s">
        <v>196</v>
      </c>
      <c r="C106" s="43" t="s">
        <v>93</v>
      </c>
      <c r="D106" s="3" t="s">
        <v>89</v>
      </c>
      <c r="E106" s="28">
        <f>+E$105</f>
        <v>1017</v>
      </c>
      <c r="F106" s="27">
        <v>0.25</v>
      </c>
      <c r="G106" s="9">
        <v>4.72</v>
      </c>
      <c r="H106" s="170">
        <f>+G106*F106*E106</f>
        <v>1200.06</v>
      </c>
      <c r="I106" s="24">
        <f t="shared" si="4"/>
        <v>0.6757094594594595</v>
      </c>
      <c r="J106" s="41" t="s">
        <v>65</v>
      </c>
    </row>
    <row r="107" spans="1:10" ht="22.5">
      <c r="A107" s="154" t="s">
        <v>170</v>
      </c>
      <c r="B107" s="154" t="s">
        <v>196</v>
      </c>
      <c r="C107" s="43" t="s">
        <v>93</v>
      </c>
      <c r="D107" s="3" t="s">
        <v>60</v>
      </c>
      <c r="E107" s="28">
        <f>+E$105</f>
        <v>1017</v>
      </c>
      <c r="F107" s="27">
        <v>0.25</v>
      </c>
      <c r="G107" s="9">
        <v>4.72</v>
      </c>
      <c r="H107" s="170">
        <f>+G107*F107*E107</f>
        <v>1200.06</v>
      </c>
      <c r="I107" s="24">
        <f t="shared" si="4"/>
        <v>0.6757094594594595</v>
      </c>
      <c r="J107" s="41" t="s">
        <v>66</v>
      </c>
    </row>
    <row r="108" spans="1:10" ht="22.5">
      <c r="A108" s="154" t="s">
        <v>170</v>
      </c>
      <c r="B108" s="154" t="s">
        <v>196</v>
      </c>
      <c r="C108" s="43" t="s">
        <v>93</v>
      </c>
      <c r="D108" s="3" t="s">
        <v>6</v>
      </c>
      <c r="E108" s="28">
        <f>+E$105</f>
        <v>1017</v>
      </c>
      <c r="F108" s="27">
        <v>0.5</v>
      </c>
      <c r="G108" s="9">
        <v>4.72</v>
      </c>
      <c r="H108" s="170">
        <f>+G108*F108*E108</f>
        <v>2400.12</v>
      </c>
      <c r="I108" s="24">
        <f t="shared" si="4"/>
        <v>1.351418918918919</v>
      </c>
      <c r="J108" s="41" t="s">
        <v>67</v>
      </c>
    </row>
    <row r="109" spans="1:10" ht="22.5">
      <c r="A109" s="154" t="s">
        <v>170</v>
      </c>
      <c r="B109" s="154" t="s">
        <v>196</v>
      </c>
      <c r="C109" s="43" t="s">
        <v>94</v>
      </c>
      <c r="D109" s="50"/>
      <c r="E109" s="12">
        <f>+E105</f>
        <v>1017</v>
      </c>
      <c r="F109" s="20">
        <v>0.25</v>
      </c>
      <c r="G109" s="53"/>
      <c r="H109" s="172"/>
      <c r="I109" s="47"/>
      <c r="J109" s="41" t="s">
        <v>122</v>
      </c>
    </row>
    <row r="110" spans="1:10" ht="22.5">
      <c r="A110" s="154" t="s">
        <v>170</v>
      </c>
      <c r="B110" s="154" t="s">
        <v>196</v>
      </c>
      <c r="C110" s="43" t="s">
        <v>94</v>
      </c>
      <c r="D110" s="3" t="s">
        <v>89</v>
      </c>
      <c r="E110" s="102">
        <f>+E$109*F$109</f>
        <v>254.25</v>
      </c>
      <c r="F110" s="27">
        <v>0.25</v>
      </c>
      <c r="G110" s="9">
        <v>2.4</v>
      </c>
      <c r="H110" s="170">
        <f>+G110*F110*E110</f>
        <v>152.54999999999998</v>
      </c>
      <c r="I110" s="24">
        <f>H110/1776</f>
        <v>0.08589527027027026</v>
      </c>
      <c r="J110" s="41" t="s">
        <v>123</v>
      </c>
    </row>
    <row r="111" spans="1:10" ht="22.5">
      <c r="A111" s="154" t="s">
        <v>170</v>
      </c>
      <c r="B111" s="154" t="s">
        <v>196</v>
      </c>
      <c r="C111" s="43" t="s">
        <v>94</v>
      </c>
      <c r="D111" s="3" t="s">
        <v>60</v>
      </c>
      <c r="E111" s="102">
        <f>+E$109*F$109</f>
        <v>254.25</v>
      </c>
      <c r="F111" s="27">
        <v>0.25</v>
      </c>
      <c r="G111" s="9">
        <v>2.4</v>
      </c>
      <c r="H111" s="170">
        <f>+G111*F111*E111</f>
        <v>152.54999999999998</v>
      </c>
      <c r="I111" s="24">
        <f>H111/1776</f>
        <v>0.08589527027027026</v>
      </c>
      <c r="J111" s="41" t="s">
        <v>123</v>
      </c>
    </row>
    <row r="112" spans="1:10" ht="22.5">
      <c r="A112" s="154" t="s">
        <v>170</v>
      </c>
      <c r="B112" s="154" t="s">
        <v>196</v>
      </c>
      <c r="C112" s="43" t="s">
        <v>94</v>
      </c>
      <c r="D112" s="3" t="s">
        <v>6</v>
      </c>
      <c r="E112" s="102">
        <f>+E$109*F$109</f>
        <v>254.25</v>
      </c>
      <c r="F112" s="27">
        <v>0.5</v>
      </c>
      <c r="G112" s="9">
        <v>2.4</v>
      </c>
      <c r="H112" s="170">
        <f>+G112*F112*E112</f>
        <v>305.09999999999997</v>
      </c>
      <c r="I112" s="24">
        <f>H112/1776</f>
        <v>0.17179054054054052</v>
      </c>
      <c r="J112" s="41" t="s">
        <v>123</v>
      </c>
    </row>
    <row r="113" spans="1:10" ht="12.75">
      <c r="A113" s="154" t="s">
        <v>170</v>
      </c>
      <c r="B113" s="157" t="s">
        <v>195</v>
      </c>
      <c r="C113" s="43" t="s">
        <v>95</v>
      </c>
      <c r="D113" s="50"/>
      <c r="E113" s="12">
        <f>E103</f>
        <v>260</v>
      </c>
      <c r="F113" s="20">
        <v>1</v>
      </c>
      <c r="G113" s="53"/>
      <c r="H113" s="172"/>
      <c r="I113" s="47"/>
      <c r="J113" s="54"/>
    </row>
    <row r="114" spans="1:10" ht="22.5">
      <c r="A114" s="154" t="s">
        <v>170</v>
      </c>
      <c r="B114" s="157" t="s">
        <v>195</v>
      </c>
      <c r="C114" s="43" t="s">
        <v>95</v>
      </c>
      <c r="D114" s="3" t="s">
        <v>89</v>
      </c>
      <c r="E114" s="7">
        <f>+E$113*F$113</f>
        <v>260</v>
      </c>
      <c r="F114" s="27">
        <v>0.25</v>
      </c>
      <c r="G114" s="9">
        <v>3.28</v>
      </c>
      <c r="H114" s="170">
        <f>+G114*F114*E114</f>
        <v>213.2</v>
      </c>
      <c r="I114" s="24">
        <f t="shared" si="4"/>
        <v>0.12004504504504504</v>
      </c>
      <c r="J114" s="41" t="s">
        <v>65</v>
      </c>
    </row>
    <row r="115" spans="1:10" ht="22.5">
      <c r="A115" s="154" t="s">
        <v>170</v>
      </c>
      <c r="B115" s="157" t="s">
        <v>195</v>
      </c>
      <c r="C115" s="43" t="s">
        <v>95</v>
      </c>
      <c r="D115" s="3" t="s">
        <v>60</v>
      </c>
      <c r="E115" s="7">
        <f>+E$113*F$113</f>
        <v>260</v>
      </c>
      <c r="F115" s="27">
        <v>0.25</v>
      </c>
      <c r="G115" s="9">
        <v>3.28</v>
      </c>
      <c r="H115" s="170">
        <f>+G115*F115*E115</f>
        <v>213.2</v>
      </c>
      <c r="I115" s="24">
        <f t="shared" si="4"/>
        <v>0.12004504504504504</v>
      </c>
      <c r="J115" s="41" t="s">
        <v>66</v>
      </c>
    </row>
    <row r="116" spans="1:10" ht="22.5">
      <c r="A116" s="154" t="s">
        <v>170</v>
      </c>
      <c r="B116" s="157" t="s">
        <v>195</v>
      </c>
      <c r="C116" s="43" t="s">
        <v>95</v>
      </c>
      <c r="D116" s="3" t="s">
        <v>6</v>
      </c>
      <c r="E116" s="7">
        <f>+E$113*F$113</f>
        <v>260</v>
      </c>
      <c r="F116" s="27">
        <v>0.5</v>
      </c>
      <c r="G116" s="9">
        <v>3.28</v>
      </c>
      <c r="H116" s="170">
        <f>+G116*F116*E116</f>
        <v>426.4</v>
      </c>
      <c r="I116" s="24">
        <f t="shared" si="4"/>
        <v>0.24009009009009008</v>
      </c>
      <c r="J116" s="41" t="s">
        <v>67</v>
      </c>
    </row>
    <row r="117" spans="1:10" ht="25.5">
      <c r="A117" s="154" t="s">
        <v>170</v>
      </c>
      <c r="B117" s="157" t="s">
        <v>195</v>
      </c>
      <c r="C117" s="43" t="s">
        <v>96</v>
      </c>
      <c r="D117" s="50"/>
      <c r="E117" s="12">
        <f>+E113</f>
        <v>260</v>
      </c>
      <c r="F117" s="20">
        <v>0.05</v>
      </c>
      <c r="G117" s="53"/>
      <c r="H117" s="172"/>
      <c r="I117" s="47"/>
      <c r="J117" s="54" t="s">
        <v>212</v>
      </c>
    </row>
    <row r="118" spans="1:10" ht="25.5">
      <c r="A118" s="154" t="s">
        <v>170</v>
      </c>
      <c r="B118" s="157" t="s">
        <v>195</v>
      </c>
      <c r="C118" s="43" t="s">
        <v>96</v>
      </c>
      <c r="D118" s="3" t="s">
        <v>61</v>
      </c>
      <c r="E118" s="118">
        <f>+E$117*F$117</f>
        <v>13</v>
      </c>
      <c r="F118" s="27">
        <v>0.75</v>
      </c>
      <c r="G118" s="9">
        <v>2.82</v>
      </c>
      <c r="H118" s="170">
        <f>+G118*F118*E118</f>
        <v>27.494999999999997</v>
      </c>
      <c r="I118" s="24">
        <f>H118/1776</f>
        <v>0.015481418918918917</v>
      </c>
      <c r="J118" s="41" t="s">
        <v>231</v>
      </c>
    </row>
    <row r="119" spans="1:10" ht="26.25" thickBot="1">
      <c r="A119" s="155" t="s">
        <v>170</v>
      </c>
      <c r="B119" s="157" t="s">
        <v>195</v>
      </c>
      <c r="C119" s="43" t="s">
        <v>96</v>
      </c>
      <c r="D119" s="3" t="s">
        <v>6</v>
      </c>
      <c r="E119" s="118">
        <f>+E$117*F$117</f>
        <v>13</v>
      </c>
      <c r="F119" s="27">
        <v>0.25</v>
      </c>
      <c r="G119" s="9">
        <v>2.82</v>
      </c>
      <c r="H119" s="170">
        <f>+G119*F119*E119</f>
        <v>9.165</v>
      </c>
      <c r="I119" s="24">
        <f>H119/1776</f>
        <v>0.005160472972972972</v>
      </c>
      <c r="J119" s="41" t="s">
        <v>232</v>
      </c>
    </row>
    <row r="120" spans="1:10" ht="12.75">
      <c r="A120" s="71">
        <v>4.11</v>
      </c>
      <c r="B120" s="71">
        <v>4.11</v>
      </c>
      <c r="C120" s="72" t="s">
        <v>40</v>
      </c>
      <c r="D120" s="73"/>
      <c r="E120" s="74"/>
      <c r="F120" s="75"/>
      <c r="G120" s="76"/>
      <c r="H120" s="162"/>
      <c r="I120" s="77"/>
      <c r="J120" s="78"/>
    </row>
    <row r="121" spans="1:10" ht="63.75">
      <c r="A121" s="96">
        <v>4.11</v>
      </c>
      <c r="B121" s="96">
        <v>4.11</v>
      </c>
      <c r="C121" s="43" t="s">
        <v>41</v>
      </c>
      <c r="D121" s="50"/>
      <c r="E121" s="12">
        <v>65</v>
      </c>
      <c r="F121" s="50"/>
      <c r="G121" s="50"/>
      <c r="H121" s="175"/>
      <c r="I121" s="50"/>
      <c r="J121" s="50"/>
    </row>
    <row r="122" spans="1:10" ht="12.75">
      <c r="A122" s="6">
        <v>4.11</v>
      </c>
      <c r="B122" s="6" t="s">
        <v>124</v>
      </c>
      <c r="C122" s="43" t="s">
        <v>50</v>
      </c>
      <c r="D122" s="50"/>
      <c r="E122" s="12">
        <f>+E121</f>
        <v>65</v>
      </c>
      <c r="F122" s="20"/>
      <c r="G122" s="53"/>
      <c r="H122" s="172"/>
      <c r="I122" s="47"/>
      <c r="J122" s="41" t="s">
        <v>97</v>
      </c>
    </row>
    <row r="123" spans="1:10" ht="25.5">
      <c r="A123" s="6">
        <v>4.11</v>
      </c>
      <c r="B123" s="6" t="s">
        <v>124</v>
      </c>
      <c r="C123" s="43" t="s">
        <v>50</v>
      </c>
      <c r="D123" s="44" t="s">
        <v>99</v>
      </c>
      <c r="E123" s="11">
        <f>+E121</f>
        <v>65</v>
      </c>
      <c r="F123" s="27">
        <v>1</v>
      </c>
      <c r="G123" s="9">
        <v>1.62</v>
      </c>
      <c r="H123" s="170">
        <f>+G123*F123*E123</f>
        <v>105.30000000000001</v>
      </c>
      <c r="I123" s="24">
        <f aca="true" t="shared" si="5" ref="I123:I136">H123/1776</f>
        <v>0.059290540540540546</v>
      </c>
      <c r="J123" s="41"/>
    </row>
    <row r="124" spans="1:10" ht="22.5">
      <c r="A124" s="6">
        <v>4.11</v>
      </c>
      <c r="B124" s="6" t="s">
        <v>143</v>
      </c>
      <c r="C124" s="43" t="s">
        <v>197</v>
      </c>
      <c r="D124" s="50"/>
      <c r="E124" s="12">
        <f>+E$121*12</f>
        <v>780</v>
      </c>
      <c r="F124" s="20"/>
      <c r="G124" s="53"/>
      <c r="H124" s="172"/>
      <c r="I124" s="47"/>
      <c r="J124" s="41" t="s">
        <v>221</v>
      </c>
    </row>
    <row r="125" spans="1:10" ht="45">
      <c r="A125" s="6">
        <v>4.11</v>
      </c>
      <c r="B125" s="6" t="s">
        <v>143</v>
      </c>
      <c r="C125" s="43" t="s">
        <v>197</v>
      </c>
      <c r="D125" s="3" t="s">
        <v>89</v>
      </c>
      <c r="E125" s="21">
        <f>+E$121*12</f>
        <v>780</v>
      </c>
      <c r="F125" s="27">
        <v>0.5</v>
      </c>
      <c r="G125" s="9">
        <v>0.56</v>
      </c>
      <c r="H125" s="170">
        <f>+G125*F125*E125</f>
        <v>218.40000000000003</v>
      </c>
      <c r="I125" s="24">
        <f t="shared" si="5"/>
        <v>0.122972972972973</v>
      </c>
      <c r="J125" s="41" t="s">
        <v>222</v>
      </c>
    </row>
    <row r="126" spans="1:10" ht="12.75">
      <c r="A126" s="6">
        <v>4.11</v>
      </c>
      <c r="B126" s="6" t="s">
        <v>143</v>
      </c>
      <c r="C126" s="43" t="s">
        <v>197</v>
      </c>
      <c r="D126" s="44" t="s">
        <v>60</v>
      </c>
      <c r="E126" s="21">
        <f>+E$121*12</f>
        <v>780</v>
      </c>
      <c r="F126" s="27">
        <v>0.25</v>
      </c>
      <c r="G126" s="9">
        <v>0.56</v>
      </c>
      <c r="H126" s="170">
        <f>+G126*F126*E126</f>
        <v>109.20000000000002</v>
      </c>
      <c r="I126" s="24">
        <f t="shared" si="5"/>
        <v>0.0614864864864865</v>
      </c>
      <c r="J126" s="41" t="s">
        <v>223</v>
      </c>
    </row>
    <row r="127" spans="1:10" ht="13.5" thickBot="1">
      <c r="A127" s="6">
        <v>4.11</v>
      </c>
      <c r="B127" s="6" t="s">
        <v>143</v>
      </c>
      <c r="C127" s="43" t="s">
        <v>197</v>
      </c>
      <c r="D127" s="44" t="s">
        <v>6</v>
      </c>
      <c r="E127" s="21">
        <f>+E$121*12</f>
        <v>780</v>
      </c>
      <c r="F127" s="27">
        <v>0.25</v>
      </c>
      <c r="G127" s="9">
        <v>0.56</v>
      </c>
      <c r="H127" s="170">
        <f>+G127*F127*E127</f>
        <v>109.20000000000002</v>
      </c>
      <c r="I127" s="24">
        <f t="shared" si="5"/>
        <v>0.0614864864864865</v>
      </c>
      <c r="J127" s="41" t="s">
        <v>223</v>
      </c>
    </row>
    <row r="128" spans="1:10" ht="12.75">
      <c r="A128" s="71">
        <v>4.12</v>
      </c>
      <c r="B128" s="71">
        <v>4.12</v>
      </c>
      <c r="C128" s="72" t="s">
        <v>22</v>
      </c>
      <c r="D128" s="73"/>
      <c r="E128" s="74"/>
      <c r="F128" s="75"/>
      <c r="G128" s="76"/>
      <c r="H128" s="162"/>
      <c r="I128" s="77"/>
      <c r="J128" s="78"/>
    </row>
    <row r="129" spans="1:10" ht="12.75">
      <c r="A129" s="6">
        <v>4.12</v>
      </c>
      <c r="B129" s="6">
        <v>4.12</v>
      </c>
      <c r="C129" s="43" t="s">
        <v>23</v>
      </c>
      <c r="D129" s="50"/>
      <c r="E129" s="12">
        <v>70</v>
      </c>
      <c r="F129" s="20"/>
      <c r="G129" s="53"/>
      <c r="H129" s="172"/>
      <c r="I129" s="47"/>
      <c r="J129" s="54"/>
    </row>
    <row r="130" spans="1:10" ht="25.5">
      <c r="A130" s="6">
        <v>4.12</v>
      </c>
      <c r="B130" s="6" t="s">
        <v>126</v>
      </c>
      <c r="C130" s="43" t="s">
        <v>51</v>
      </c>
      <c r="D130" s="50"/>
      <c r="E130" s="12">
        <f>+E129</f>
        <v>70</v>
      </c>
      <c r="F130" s="27">
        <v>1</v>
      </c>
      <c r="G130" s="53"/>
      <c r="H130" s="172"/>
      <c r="I130" s="47"/>
      <c r="J130" s="54"/>
    </row>
    <row r="131" spans="1:10" ht="25.5">
      <c r="A131" s="6">
        <v>4.12</v>
      </c>
      <c r="B131" s="6" t="s">
        <v>126</v>
      </c>
      <c r="C131" s="43" t="s">
        <v>51</v>
      </c>
      <c r="D131" s="3" t="s">
        <v>99</v>
      </c>
      <c r="E131" s="7">
        <f>+E130</f>
        <v>70</v>
      </c>
      <c r="F131" s="27">
        <v>0.9</v>
      </c>
      <c r="G131" s="9">
        <v>1.81</v>
      </c>
      <c r="H131" s="170">
        <f>+G131*F131*E131</f>
        <v>114.03</v>
      </c>
      <c r="I131" s="24">
        <f t="shared" si="5"/>
        <v>0.06420608108108108</v>
      </c>
      <c r="J131" s="41"/>
    </row>
    <row r="132" spans="1:10" ht="25.5">
      <c r="A132" s="6">
        <v>4.12</v>
      </c>
      <c r="B132" s="6" t="s">
        <v>126</v>
      </c>
      <c r="C132" s="43" t="s">
        <v>51</v>
      </c>
      <c r="D132" s="3" t="s">
        <v>60</v>
      </c>
      <c r="E132" s="7">
        <f>+E130</f>
        <v>70</v>
      </c>
      <c r="F132" s="27">
        <v>0.05</v>
      </c>
      <c r="G132" s="9">
        <v>1.81</v>
      </c>
      <c r="H132" s="170">
        <f>+G132*F132*E132</f>
        <v>6.335000000000001</v>
      </c>
      <c r="I132" s="24">
        <f t="shared" si="5"/>
        <v>0.003567004504504505</v>
      </c>
      <c r="J132" s="41" t="s">
        <v>125</v>
      </c>
    </row>
    <row r="133" spans="1:10" ht="25.5">
      <c r="A133" s="6">
        <v>4.12</v>
      </c>
      <c r="B133" s="6" t="s">
        <v>126</v>
      </c>
      <c r="C133" s="43" t="s">
        <v>51</v>
      </c>
      <c r="D133" s="3" t="s">
        <v>6</v>
      </c>
      <c r="E133" s="7">
        <f>+E130</f>
        <v>70</v>
      </c>
      <c r="F133" s="27">
        <v>0.05</v>
      </c>
      <c r="G133" s="9">
        <v>1.81</v>
      </c>
      <c r="H133" s="170">
        <f>+G133*F133*E133</f>
        <v>6.335000000000001</v>
      </c>
      <c r="I133" s="24">
        <f t="shared" si="5"/>
        <v>0.003567004504504505</v>
      </c>
      <c r="J133" s="41" t="s">
        <v>125</v>
      </c>
    </row>
    <row r="134" spans="1:10" ht="25.5">
      <c r="A134" s="6">
        <v>4.12</v>
      </c>
      <c r="B134" s="6" t="s">
        <v>127</v>
      </c>
      <c r="C134" s="43" t="s">
        <v>52</v>
      </c>
      <c r="D134" s="50"/>
      <c r="E134" s="12">
        <f>+E129</f>
        <v>70</v>
      </c>
      <c r="F134" s="20">
        <v>0.25</v>
      </c>
      <c r="G134" s="53"/>
      <c r="H134" s="172"/>
      <c r="I134" s="47"/>
      <c r="J134" s="54" t="s">
        <v>213</v>
      </c>
    </row>
    <row r="135" spans="1:10" ht="25.5">
      <c r="A135" s="6">
        <v>4.12</v>
      </c>
      <c r="B135" s="6" t="s">
        <v>127</v>
      </c>
      <c r="C135" s="43" t="s">
        <v>52</v>
      </c>
      <c r="D135" s="3" t="s">
        <v>60</v>
      </c>
      <c r="E135" s="7">
        <f>+E$134*F$134</f>
        <v>17.5</v>
      </c>
      <c r="F135" s="27">
        <v>0.5</v>
      </c>
      <c r="G135" s="9">
        <v>1.7</v>
      </c>
      <c r="H135" s="170">
        <f>+G135*F135*E135</f>
        <v>14.875</v>
      </c>
      <c r="I135" s="24">
        <f t="shared" si="5"/>
        <v>0.008375563063063063</v>
      </c>
      <c r="J135" s="41" t="s">
        <v>214</v>
      </c>
    </row>
    <row r="136" spans="1:10" ht="26.25" thickBot="1">
      <c r="A136" s="6">
        <v>4.12</v>
      </c>
      <c r="B136" s="6" t="s">
        <v>127</v>
      </c>
      <c r="C136" s="43" t="s">
        <v>52</v>
      </c>
      <c r="D136" s="3" t="s">
        <v>6</v>
      </c>
      <c r="E136" s="7">
        <f>+E$134*F$134</f>
        <v>17.5</v>
      </c>
      <c r="F136" s="27">
        <v>0.5</v>
      </c>
      <c r="G136" s="9">
        <v>1.7</v>
      </c>
      <c r="H136" s="170">
        <f>+G136*F136*E136</f>
        <v>14.875</v>
      </c>
      <c r="I136" s="24">
        <f t="shared" si="5"/>
        <v>0.008375563063063063</v>
      </c>
      <c r="J136" s="41" t="s">
        <v>215</v>
      </c>
    </row>
    <row r="137" spans="1:10" ht="25.5">
      <c r="A137" s="71">
        <v>4.13</v>
      </c>
      <c r="B137" s="71">
        <v>4.13</v>
      </c>
      <c r="C137" s="72" t="s">
        <v>24</v>
      </c>
      <c r="D137" s="73"/>
      <c r="E137" s="74"/>
      <c r="F137" s="75"/>
      <c r="G137" s="76"/>
      <c r="H137" s="162"/>
      <c r="I137" s="77"/>
      <c r="J137" s="78"/>
    </row>
    <row r="138" spans="1:10" ht="38.25">
      <c r="A138" s="6">
        <v>4.13</v>
      </c>
      <c r="B138" s="6">
        <v>4.13</v>
      </c>
      <c r="C138" s="43" t="s">
        <v>25</v>
      </c>
      <c r="D138" s="50"/>
      <c r="E138" s="12">
        <v>70</v>
      </c>
      <c r="F138" s="19"/>
      <c r="G138" s="53"/>
      <c r="H138" s="172"/>
      <c r="I138" s="47"/>
      <c r="J138" s="54"/>
    </row>
    <row r="139" spans="1:10" ht="25.5">
      <c r="A139" s="6">
        <v>4.13</v>
      </c>
      <c r="B139" s="6" t="s">
        <v>144</v>
      </c>
      <c r="C139" s="43" t="s">
        <v>53</v>
      </c>
      <c r="D139" s="3" t="s">
        <v>99</v>
      </c>
      <c r="E139" s="28">
        <f>+E138</f>
        <v>70</v>
      </c>
      <c r="F139" s="27">
        <v>0.5</v>
      </c>
      <c r="G139" s="9">
        <v>2.42</v>
      </c>
      <c r="H139" s="170">
        <f>+G139*F139*E139</f>
        <v>84.7</v>
      </c>
      <c r="I139" s="24">
        <f>H139/1776</f>
        <v>0.04769144144144144</v>
      </c>
      <c r="J139" s="41"/>
    </row>
    <row r="140" spans="1:10" ht="25.5">
      <c r="A140" s="6">
        <v>4.13</v>
      </c>
      <c r="B140" s="6" t="s">
        <v>144</v>
      </c>
      <c r="C140" s="43" t="s">
        <v>53</v>
      </c>
      <c r="D140" s="3" t="s">
        <v>105</v>
      </c>
      <c r="E140" s="28">
        <f>+E138</f>
        <v>70</v>
      </c>
      <c r="F140" s="27">
        <v>0.25</v>
      </c>
      <c r="G140" s="9">
        <v>2.42</v>
      </c>
      <c r="H140" s="170">
        <f>+G140*F140*E140</f>
        <v>42.35</v>
      </c>
      <c r="I140" s="24">
        <f>H140/1776</f>
        <v>0.02384572072072072</v>
      </c>
      <c r="J140" s="41"/>
    </row>
    <row r="141" spans="1:10" ht="26.25" thickBot="1">
      <c r="A141" s="6">
        <v>4.13</v>
      </c>
      <c r="B141" s="6" t="s">
        <v>144</v>
      </c>
      <c r="C141" s="43" t="s">
        <v>53</v>
      </c>
      <c r="D141" s="3" t="s">
        <v>106</v>
      </c>
      <c r="E141" s="28">
        <f>+E138</f>
        <v>70</v>
      </c>
      <c r="F141" s="27">
        <v>0.25</v>
      </c>
      <c r="G141" s="9">
        <v>2.42</v>
      </c>
      <c r="H141" s="170">
        <f>+G141*F141*E141</f>
        <v>42.35</v>
      </c>
      <c r="I141" s="24">
        <f>H141/1776</f>
        <v>0.02384572072072072</v>
      </c>
      <c r="J141" s="41"/>
    </row>
    <row r="142" spans="1:10" ht="12.75">
      <c r="A142" s="71">
        <v>4.14</v>
      </c>
      <c r="B142" s="71">
        <v>4.14</v>
      </c>
      <c r="C142" s="72" t="s">
        <v>26</v>
      </c>
      <c r="D142" s="73"/>
      <c r="E142" s="74"/>
      <c r="F142" s="75"/>
      <c r="G142" s="76"/>
      <c r="H142" s="162"/>
      <c r="I142" s="77"/>
      <c r="J142" s="78"/>
    </row>
    <row r="143" spans="1:10" ht="38.25">
      <c r="A143" s="6">
        <v>4.14</v>
      </c>
      <c r="B143" s="6">
        <v>4.14</v>
      </c>
      <c r="C143" s="43" t="s">
        <v>27</v>
      </c>
      <c r="D143" s="50"/>
      <c r="E143" s="12">
        <v>314</v>
      </c>
      <c r="F143" s="19"/>
      <c r="G143" s="53"/>
      <c r="H143" s="172"/>
      <c r="I143" s="47"/>
      <c r="J143" s="54"/>
    </row>
    <row r="144" spans="1:10" ht="38.25">
      <c r="A144" s="6">
        <v>4.14</v>
      </c>
      <c r="B144" s="6" t="s">
        <v>198</v>
      </c>
      <c r="C144" s="43" t="s">
        <v>28</v>
      </c>
      <c r="D144" s="3" t="s">
        <v>89</v>
      </c>
      <c r="E144" s="12">
        <v>11</v>
      </c>
      <c r="F144" s="27">
        <v>1</v>
      </c>
      <c r="G144" s="9">
        <v>1.02</v>
      </c>
      <c r="H144" s="170">
        <f>+G144*F144*E144</f>
        <v>11.22</v>
      </c>
      <c r="I144" s="24">
        <f>H144/1776</f>
        <v>0.006317567567567568</v>
      </c>
      <c r="J144" s="41" t="s">
        <v>210</v>
      </c>
    </row>
    <row r="145" spans="1:10" ht="25.5">
      <c r="A145" s="6">
        <v>4.14</v>
      </c>
      <c r="B145" s="6" t="s">
        <v>199</v>
      </c>
      <c r="C145" s="43" t="s">
        <v>29</v>
      </c>
      <c r="D145" s="3" t="s">
        <v>89</v>
      </c>
      <c r="E145" s="151">
        <v>6</v>
      </c>
      <c r="F145" s="27">
        <v>1</v>
      </c>
      <c r="G145" s="9">
        <v>1.02</v>
      </c>
      <c r="H145" s="170">
        <f>+G145*F145*E145</f>
        <v>6.12</v>
      </c>
      <c r="I145" s="24">
        <f>H145/1776</f>
        <v>0.003445945945945946</v>
      </c>
      <c r="J145" s="41" t="s">
        <v>210</v>
      </c>
    </row>
    <row r="146" spans="1:10" ht="12.75">
      <c r="A146" s="6">
        <v>4.14</v>
      </c>
      <c r="B146" s="6" t="s">
        <v>200</v>
      </c>
      <c r="C146" s="43" t="s">
        <v>55</v>
      </c>
      <c r="D146" s="158"/>
      <c r="E146" s="12">
        <f>+E143</f>
        <v>314</v>
      </c>
      <c r="F146" s="159"/>
      <c r="G146" s="55"/>
      <c r="H146" s="176"/>
      <c r="I146" s="55"/>
      <c r="J146" s="54"/>
    </row>
    <row r="147" spans="1:10" ht="25.5">
      <c r="A147" s="6">
        <v>4.14</v>
      </c>
      <c r="B147" s="6" t="s">
        <v>200</v>
      </c>
      <c r="C147" s="43" t="s">
        <v>55</v>
      </c>
      <c r="D147" s="44" t="s">
        <v>99</v>
      </c>
      <c r="E147" s="160">
        <f>+E$146</f>
        <v>314</v>
      </c>
      <c r="F147" s="27">
        <v>0.8</v>
      </c>
      <c r="G147" s="9">
        <v>1.02</v>
      </c>
      <c r="H147" s="170">
        <f>+G147*F147*E147</f>
        <v>256.22400000000005</v>
      </c>
      <c r="I147" s="24">
        <f>H147/1776</f>
        <v>0.14427027027027028</v>
      </c>
      <c r="J147" s="41" t="s">
        <v>201</v>
      </c>
    </row>
    <row r="148" spans="1:10" ht="22.5">
      <c r="A148" s="6">
        <v>4.14</v>
      </c>
      <c r="B148" s="6" t="s">
        <v>200</v>
      </c>
      <c r="C148" s="43" t="s">
        <v>55</v>
      </c>
      <c r="D148" s="3" t="s">
        <v>89</v>
      </c>
      <c r="E148" s="7">
        <f>+E$146</f>
        <v>314</v>
      </c>
      <c r="F148" s="27">
        <v>0.1</v>
      </c>
      <c r="G148" s="9">
        <v>1.02</v>
      </c>
      <c r="H148" s="170">
        <f>+G148*F148*E148</f>
        <v>32.028000000000006</v>
      </c>
      <c r="I148" s="24">
        <f>H148/1776</f>
        <v>0.018033783783783786</v>
      </c>
      <c r="J148" s="41" t="s">
        <v>216</v>
      </c>
    </row>
    <row r="149" spans="1:10" ht="22.5">
      <c r="A149" s="6">
        <v>4.14</v>
      </c>
      <c r="B149" s="6" t="s">
        <v>200</v>
      </c>
      <c r="C149" s="43" t="s">
        <v>55</v>
      </c>
      <c r="D149" s="3" t="s">
        <v>60</v>
      </c>
      <c r="E149" s="7">
        <f>+E$146</f>
        <v>314</v>
      </c>
      <c r="F149" s="27">
        <v>0.05</v>
      </c>
      <c r="G149" s="9">
        <v>1.02</v>
      </c>
      <c r="H149" s="170">
        <f>+G149*F149*E149</f>
        <v>16.014000000000003</v>
      </c>
      <c r="I149" s="24">
        <f>H149/1776</f>
        <v>0.009016891891891893</v>
      </c>
      <c r="J149" s="41" t="s">
        <v>216</v>
      </c>
    </row>
    <row r="150" spans="1:10" ht="22.5">
      <c r="A150" s="6">
        <v>4.14</v>
      </c>
      <c r="B150" s="6" t="s">
        <v>200</v>
      </c>
      <c r="C150" s="43" t="s">
        <v>55</v>
      </c>
      <c r="D150" s="3" t="s">
        <v>6</v>
      </c>
      <c r="E150" s="7">
        <f>+E$146</f>
        <v>314</v>
      </c>
      <c r="F150" s="27">
        <v>0.05</v>
      </c>
      <c r="G150" s="9">
        <v>1.02</v>
      </c>
      <c r="H150" s="170">
        <f>+G150*F150*E150</f>
        <v>16.014000000000003</v>
      </c>
      <c r="I150" s="24">
        <f>H150/1776</f>
        <v>0.009016891891891893</v>
      </c>
      <c r="J150" s="41" t="s">
        <v>216</v>
      </c>
    </row>
    <row r="151" spans="1:10" ht="12.75">
      <c r="A151" s="6">
        <v>4.14</v>
      </c>
      <c r="B151" s="6" t="s">
        <v>200</v>
      </c>
      <c r="C151" s="43" t="s">
        <v>54</v>
      </c>
      <c r="D151" s="50"/>
      <c r="E151" s="12">
        <f>E143</f>
        <v>314</v>
      </c>
      <c r="F151" s="20"/>
      <c r="G151" s="53"/>
      <c r="H151" s="172"/>
      <c r="I151" s="47"/>
      <c r="J151" s="54"/>
    </row>
    <row r="152" spans="1:10" ht="22.5">
      <c r="A152" s="6">
        <v>4.14</v>
      </c>
      <c r="B152" s="6" t="s">
        <v>200</v>
      </c>
      <c r="C152" s="43" t="s">
        <v>54</v>
      </c>
      <c r="D152" s="3" t="s">
        <v>89</v>
      </c>
      <c r="E152" s="7">
        <f>+E$143</f>
        <v>314</v>
      </c>
      <c r="F152" s="27">
        <v>0.25</v>
      </c>
      <c r="G152" s="9">
        <v>1.56</v>
      </c>
      <c r="H152" s="170">
        <f>+G152*F152*E152</f>
        <v>122.46000000000001</v>
      </c>
      <c r="I152" s="24">
        <f>H152/1776</f>
        <v>0.0689527027027027</v>
      </c>
      <c r="J152" s="41" t="s">
        <v>65</v>
      </c>
    </row>
    <row r="153" spans="1:10" ht="22.5">
      <c r="A153" s="6">
        <v>4.14</v>
      </c>
      <c r="B153" s="6" t="s">
        <v>200</v>
      </c>
      <c r="C153" s="43" t="s">
        <v>54</v>
      </c>
      <c r="D153" s="3" t="s">
        <v>60</v>
      </c>
      <c r="E153" s="7">
        <f>+E$143</f>
        <v>314</v>
      </c>
      <c r="F153" s="27">
        <v>0.25</v>
      </c>
      <c r="G153" s="9">
        <v>1.56</v>
      </c>
      <c r="H153" s="170">
        <f>+G153*F153*E153</f>
        <v>122.46000000000001</v>
      </c>
      <c r="I153" s="24">
        <f>H153/1776</f>
        <v>0.0689527027027027</v>
      </c>
      <c r="J153" s="41" t="s">
        <v>66</v>
      </c>
    </row>
    <row r="154" spans="1:10" ht="23.25" thickBot="1">
      <c r="A154" s="64">
        <v>4.14</v>
      </c>
      <c r="B154" s="6" t="s">
        <v>200</v>
      </c>
      <c r="C154" s="43" t="s">
        <v>54</v>
      </c>
      <c r="D154" s="3" t="s">
        <v>6</v>
      </c>
      <c r="E154" s="7">
        <f>+E$143</f>
        <v>314</v>
      </c>
      <c r="F154" s="27">
        <v>0.5</v>
      </c>
      <c r="G154" s="9">
        <v>1.56</v>
      </c>
      <c r="H154" s="170">
        <f>+G154*F154*E154</f>
        <v>244.92000000000002</v>
      </c>
      <c r="I154" s="24">
        <f>H154/1776</f>
        <v>0.1379054054054054</v>
      </c>
      <c r="J154" s="41" t="s">
        <v>67</v>
      </c>
    </row>
    <row r="155" spans="1:10" ht="12.75">
      <c r="A155" s="71">
        <v>4.15</v>
      </c>
      <c r="B155" s="71">
        <v>4.15</v>
      </c>
      <c r="C155" s="79" t="s">
        <v>30</v>
      </c>
      <c r="D155" s="73"/>
      <c r="E155" s="74"/>
      <c r="F155" s="75"/>
      <c r="G155" s="76"/>
      <c r="H155" s="162"/>
      <c r="I155" s="77"/>
      <c r="J155" s="78"/>
    </row>
    <row r="156" spans="1:10" ht="51">
      <c r="A156" s="6">
        <v>4.15</v>
      </c>
      <c r="B156" s="6">
        <v>4.15</v>
      </c>
      <c r="C156" s="44" t="s">
        <v>31</v>
      </c>
      <c r="D156" s="50"/>
      <c r="E156" s="12">
        <v>170</v>
      </c>
      <c r="F156" s="19"/>
      <c r="G156" s="53"/>
      <c r="H156" s="172"/>
      <c r="I156" s="47"/>
      <c r="J156" s="54"/>
    </row>
    <row r="157" spans="1:10" ht="12.75">
      <c r="A157" s="6">
        <v>4.15</v>
      </c>
      <c r="B157" s="6" t="s">
        <v>145</v>
      </c>
      <c r="C157" s="43" t="s">
        <v>30</v>
      </c>
      <c r="D157" s="50"/>
      <c r="E157" s="12">
        <f>+E156</f>
        <v>170</v>
      </c>
      <c r="F157" s="20">
        <v>1</v>
      </c>
      <c r="G157" s="53"/>
      <c r="H157" s="172"/>
      <c r="I157" s="47"/>
      <c r="J157" s="54"/>
    </row>
    <row r="158" spans="1:10" ht="25.5">
      <c r="A158" s="6">
        <v>4.15</v>
      </c>
      <c r="B158" s="6" t="s">
        <v>145</v>
      </c>
      <c r="C158" s="43" t="s">
        <v>30</v>
      </c>
      <c r="D158" s="44" t="s">
        <v>99</v>
      </c>
      <c r="E158" s="28">
        <f>+E$157*F$157</f>
        <v>170</v>
      </c>
      <c r="F158" s="27">
        <v>0.8</v>
      </c>
      <c r="G158" s="9">
        <v>1.21</v>
      </c>
      <c r="H158" s="170">
        <f>+G158*F158*E158</f>
        <v>164.56</v>
      </c>
      <c r="I158" s="24">
        <f>H158/1776</f>
        <v>0.09265765765765765</v>
      </c>
      <c r="J158" s="41" t="s">
        <v>177</v>
      </c>
    </row>
    <row r="159" spans="1:10" ht="22.5">
      <c r="A159" s="6">
        <v>4.15</v>
      </c>
      <c r="B159" s="6" t="s">
        <v>145</v>
      </c>
      <c r="C159" s="43" t="s">
        <v>30</v>
      </c>
      <c r="D159" s="3" t="s">
        <v>89</v>
      </c>
      <c r="E159" s="28">
        <f>+E$157*F$157</f>
        <v>170</v>
      </c>
      <c r="F159" s="27">
        <v>0.05</v>
      </c>
      <c r="G159" s="9">
        <v>1.21</v>
      </c>
      <c r="H159" s="170">
        <f>+G159*F159*E159</f>
        <v>10.285</v>
      </c>
      <c r="I159" s="24">
        <f>H159/1776</f>
        <v>0.005791103603603603</v>
      </c>
      <c r="J159" s="41" t="s">
        <v>178</v>
      </c>
    </row>
    <row r="160" spans="1:10" ht="22.5">
      <c r="A160" s="6">
        <v>4.15</v>
      </c>
      <c r="B160" s="6" t="s">
        <v>145</v>
      </c>
      <c r="C160" s="43" t="s">
        <v>30</v>
      </c>
      <c r="D160" s="44" t="s">
        <v>60</v>
      </c>
      <c r="E160" s="28">
        <f>+E$157*F$157</f>
        <v>170</v>
      </c>
      <c r="F160" s="27">
        <v>0.1</v>
      </c>
      <c r="G160" s="9">
        <v>1.21</v>
      </c>
      <c r="H160" s="170">
        <f>+G160*F160*E160</f>
        <v>20.57</v>
      </c>
      <c r="I160" s="24">
        <f>H160/1776</f>
        <v>0.011582207207207207</v>
      </c>
      <c r="J160" s="41" t="s">
        <v>179</v>
      </c>
    </row>
    <row r="161" spans="1:10" ht="23.25" thickBot="1">
      <c r="A161" s="6">
        <v>4.15</v>
      </c>
      <c r="B161" s="6" t="s">
        <v>145</v>
      </c>
      <c r="C161" s="65" t="s">
        <v>30</v>
      </c>
      <c r="D161" s="80" t="s">
        <v>6</v>
      </c>
      <c r="E161" s="150">
        <f>+E$157*F$157</f>
        <v>170</v>
      </c>
      <c r="F161" s="67">
        <v>0.05</v>
      </c>
      <c r="G161" s="68">
        <v>1.21</v>
      </c>
      <c r="H161" s="170">
        <f>+G161*F161*E161</f>
        <v>10.285</v>
      </c>
      <c r="I161" s="69">
        <f>H161/1776</f>
        <v>0.005791103603603603</v>
      </c>
      <c r="J161" s="70" t="s">
        <v>180</v>
      </c>
    </row>
    <row r="162" spans="1:10" ht="12.75">
      <c r="A162" s="71">
        <v>4.16</v>
      </c>
      <c r="B162" s="71">
        <v>4.16</v>
      </c>
      <c r="C162" s="79" t="s">
        <v>19</v>
      </c>
      <c r="D162" s="73"/>
      <c r="E162" s="74"/>
      <c r="F162" s="75"/>
      <c r="G162" s="76"/>
      <c r="H162" s="162"/>
      <c r="I162" s="77"/>
      <c r="J162" s="78"/>
    </row>
    <row r="163" spans="1:10" ht="38.25">
      <c r="A163" s="96">
        <v>4.16</v>
      </c>
      <c r="B163" s="96">
        <v>4.16</v>
      </c>
      <c r="C163" s="43" t="s">
        <v>36</v>
      </c>
      <c r="D163" s="50"/>
      <c r="E163" s="12">
        <v>1125</v>
      </c>
      <c r="F163" s="19"/>
      <c r="G163" s="53"/>
      <c r="H163" s="172"/>
      <c r="I163" s="47"/>
      <c r="J163" s="54"/>
    </row>
    <row r="164" spans="1:10" ht="12.75">
      <c r="A164" s="6">
        <v>4.16</v>
      </c>
      <c r="B164" s="6" t="s">
        <v>146</v>
      </c>
      <c r="C164" s="43" t="s">
        <v>19</v>
      </c>
      <c r="D164" s="50"/>
      <c r="E164" s="12">
        <f>+E163</f>
        <v>1125</v>
      </c>
      <c r="F164" s="106">
        <v>1</v>
      </c>
      <c r="G164" s="53"/>
      <c r="H164" s="172"/>
      <c r="I164" s="47"/>
      <c r="J164" s="54"/>
    </row>
    <row r="165" spans="1:10" ht="25.5">
      <c r="A165" s="6">
        <v>4.16</v>
      </c>
      <c r="B165" s="6" t="s">
        <v>146</v>
      </c>
      <c r="C165" s="43" t="s">
        <v>19</v>
      </c>
      <c r="D165" s="44" t="s">
        <v>99</v>
      </c>
      <c r="E165" s="28">
        <f>+E$163</f>
        <v>1125</v>
      </c>
      <c r="F165" s="27">
        <v>0.8</v>
      </c>
      <c r="G165" s="9">
        <v>1.53</v>
      </c>
      <c r="H165" s="170">
        <f>+G165*F165*E165</f>
        <v>1377.0000000000002</v>
      </c>
      <c r="I165" s="24">
        <f>H165/1776</f>
        <v>0.7753378378378379</v>
      </c>
      <c r="J165" s="41" t="s">
        <v>177</v>
      </c>
    </row>
    <row r="166" spans="1:10" ht="22.5">
      <c r="A166" s="6">
        <v>4.16</v>
      </c>
      <c r="B166" s="6" t="s">
        <v>146</v>
      </c>
      <c r="C166" s="43" t="s">
        <v>19</v>
      </c>
      <c r="D166" s="3" t="s">
        <v>89</v>
      </c>
      <c r="E166" s="28">
        <f>+E$163</f>
        <v>1125</v>
      </c>
      <c r="F166" s="27">
        <v>0.05</v>
      </c>
      <c r="G166" s="9">
        <v>1.53</v>
      </c>
      <c r="H166" s="170">
        <f>+G166*F166*E166</f>
        <v>86.06250000000001</v>
      </c>
      <c r="I166" s="24">
        <f>H166/1776</f>
        <v>0.04845861486486487</v>
      </c>
      <c r="J166" s="41" t="s">
        <v>178</v>
      </c>
    </row>
    <row r="167" spans="1:10" ht="22.5">
      <c r="A167" s="6">
        <v>4.16</v>
      </c>
      <c r="B167" s="6" t="s">
        <v>146</v>
      </c>
      <c r="C167" s="43" t="s">
        <v>19</v>
      </c>
      <c r="D167" s="44" t="s">
        <v>60</v>
      </c>
      <c r="E167" s="28">
        <f>+E$163</f>
        <v>1125</v>
      </c>
      <c r="F167" s="27">
        <v>0.1</v>
      </c>
      <c r="G167" s="9">
        <v>1.53</v>
      </c>
      <c r="H167" s="170">
        <f>+G167*F167*E167</f>
        <v>172.12500000000003</v>
      </c>
      <c r="I167" s="24">
        <f>H167/1776</f>
        <v>0.09691722972972974</v>
      </c>
      <c r="J167" s="41" t="s">
        <v>179</v>
      </c>
    </row>
    <row r="168" spans="1:10" ht="23.25" thickBot="1">
      <c r="A168" s="6">
        <v>4.16</v>
      </c>
      <c r="B168" s="6" t="s">
        <v>146</v>
      </c>
      <c r="C168" s="43" t="s">
        <v>19</v>
      </c>
      <c r="D168" s="3" t="s">
        <v>6</v>
      </c>
      <c r="E168" s="28">
        <f>+E$163</f>
        <v>1125</v>
      </c>
      <c r="F168" s="27">
        <v>0.05</v>
      </c>
      <c r="G168" s="9">
        <v>1.53</v>
      </c>
      <c r="H168" s="170">
        <f>+G168*F168*E168</f>
        <v>86.06250000000001</v>
      </c>
      <c r="I168" s="24">
        <f>H168/1776</f>
        <v>0.04845861486486487</v>
      </c>
      <c r="J168" s="70" t="s">
        <v>180</v>
      </c>
    </row>
    <row r="169" spans="1:10" ht="12.75">
      <c r="A169" s="71">
        <v>4.17</v>
      </c>
      <c r="B169" s="71">
        <v>4.17</v>
      </c>
      <c r="C169" s="72" t="s">
        <v>32</v>
      </c>
      <c r="D169" s="73"/>
      <c r="E169" s="74"/>
      <c r="F169" s="75"/>
      <c r="G169" s="76"/>
      <c r="H169" s="162"/>
      <c r="I169" s="77"/>
      <c r="J169" s="78"/>
    </row>
    <row r="170" spans="1:10" ht="38.25">
      <c r="A170" s="6">
        <v>4.17</v>
      </c>
      <c r="B170" s="6">
        <v>4.17</v>
      </c>
      <c r="C170" s="43" t="s">
        <v>37</v>
      </c>
      <c r="D170" s="55"/>
      <c r="E170" s="12">
        <v>95</v>
      </c>
      <c r="F170" s="19"/>
      <c r="G170" s="53"/>
      <c r="H170" s="172"/>
      <c r="I170" s="47"/>
      <c r="J170" s="54"/>
    </row>
    <row r="171" spans="1:10" ht="56.25">
      <c r="A171" s="6">
        <v>4.17</v>
      </c>
      <c r="B171" s="6" t="s">
        <v>147</v>
      </c>
      <c r="C171" s="43" t="s">
        <v>57</v>
      </c>
      <c r="D171" s="55"/>
      <c r="E171" s="12">
        <f>+E$170*4</f>
        <v>380</v>
      </c>
      <c r="F171" s="20"/>
      <c r="G171" s="53"/>
      <c r="H171" s="172"/>
      <c r="I171" s="47"/>
      <c r="J171" s="41" t="s">
        <v>185</v>
      </c>
    </row>
    <row r="172" spans="1:10" ht="12.75">
      <c r="A172" s="6">
        <v>4.17</v>
      </c>
      <c r="B172" s="6" t="s">
        <v>147</v>
      </c>
      <c r="C172" s="43" t="s">
        <v>57</v>
      </c>
      <c r="D172" s="3" t="s">
        <v>89</v>
      </c>
      <c r="E172" s="7">
        <f>+E$171</f>
        <v>380</v>
      </c>
      <c r="F172" s="27">
        <v>0.25</v>
      </c>
      <c r="G172" s="9">
        <v>1</v>
      </c>
      <c r="H172" s="170">
        <f>+G172*F172*E172</f>
        <v>95</v>
      </c>
      <c r="I172" s="24">
        <f>H172/1776</f>
        <v>0.05349099099099099</v>
      </c>
      <c r="J172" s="41" t="s">
        <v>210</v>
      </c>
    </row>
    <row r="173" spans="1:10" ht="12.75">
      <c r="A173" s="6">
        <v>4.17</v>
      </c>
      <c r="B173" s="6" t="s">
        <v>147</v>
      </c>
      <c r="C173" s="43" t="s">
        <v>57</v>
      </c>
      <c r="D173" s="3" t="s">
        <v>60</v>
      </c>
      <c r="E173" s="7">
        <f>+E$171</f>
        <v>380</v>
      </c>
      <c r="F173" s="27">
        <v>0.5</v>
      </c>
      <c r="G173" s="9">
        <v>1</v>
      </c>
      <c r="H173" s="170">
        <f>+G173*F173*E173</f>
        <v>190</v>
      </c>
      <c r="I173" s="24">
        <f>H173/1776</f>
        <v>0.10698198198198199</v>
      </c>
      <c r="J173" s="41" t="s">
        <v>210</v>
      </c>
    </row>
    <row r="174" spans="1:10" ht="12.75">
      <c r="A174" s="6">
        <v>4.17</v>
      </c>
      <c r="B174" s="6" t="s">
        <v>147</v>
      </c>
      <c r="C174" s="43" t="s">
        <v>57</v>
      </c>
      <c r="D174" s="3" t="s">
        <v>6</v>
      </c>
      <c r="E174" s="7">
        <f>+E$171</f>
        <v>380</v>
      </c>
      <c r="F174" s="27">
        <v>0.25</v>
      </c>
      <c r="G174" s="9">
        <v>1</v>
      </c>
      <c r="H174" s="170">
        <f>+G174*F174*E174</f>
        <v>95</v>
      </c>
      <c r="I174" s="24">
        <f>H174/1776</f>
        <v>0.05349099099099099</v>
      </c>
      <c r="J174" s="41" t="s">
        <v>210</v>
      </c>
    </row>
    <row r="175" spans="1:10" ht="12.75">
      <c r="A175" s="6">
        <v>4.17</v>
      </c>
      <c r="B175" s="6" t="s">
        <v>148</v>
      </c>
      <c r="C175" s="43" t="s">
        <v>56</v>
      </c>
      <c r="D175" s="50"/>
      <c r="E175" s="12">
        <f>+E170</f>
        <v>95</v>
      </c>
      <c r="F175" s="106">
        <v>1</v>
      </c>
      <c r="G175" s="53"/>
      <c r="H175" s="172"/>
      <c r="I175" s="47"/>
      <c r="J175" s="54"/>
    </row>
    <row r="176" spans="1:10" ht="22.5">
      <c r="A176" s="6">
        <v>4.17</v>
      </c>
      <c r="B176" s="6" t="s">
        <v>148</v>
      </c>
      <c r="C176" s="43" t="s">
        <v>56</v>
      </c>
      <c r="D176" s="3" t="s">
        <v>89</v>
      </c>
      <c r="E176" s="7">
        <f>+E175</f>
        <v>95</v>
      </c>
      <c r="F176" s="27">
        <v>0.25</v>
      </c>
      <c r="G176" s="9">
        <v>2.34</v>
      </c>
      <c r="H176" s="170">
        <f>+G176*F176*E176</f>
        <v>55.574999999999996</v>
      </c>
      <c r="I176" s="24">
        <f>H176/1776</f>
        <v>0.031292229729729726</v>
      </c>
      <c r="J176" s="41" t="s">
        <v>65</v>
      </c>
    </row>
    <row r="177" spans="1:10" ht="22.5">
      <c r="A177" s="6">
        <v>4.17</v>
      </c>
      <c r="B177" s="6" t="s">
        <v>148</v>
      </c>
      <c r="C177" s="43" t="s">
        <v>56</v>
      </c>
      <c r="D177" s="3" t="s">
        <v>60</v>
      </c>
      <c r="E177" s="7">
        <f>+E175</f>
        <v>95</v>
      </c>
      <c r="F177" s="27">
        <v>0.5</v>
      </c>
      <c r="G177" s="9">
        <v>2.34</v>
      </c>
      <c r="H177" s="170">
        <f>+G177*F177*E177</f>
        <v>111.14999999999999</v>
      </c>
      <c r="I177" s="24">
        <f>H177/1776</f>
        <v>0.06258445945945945</v>
      </c>
      <c r="J177" s="41" t="s">
        <v>66</v>
      </c>
    </row>
    <row r="178" spans="1:10" ht="22.5">
      <c r="A178" s="6">
        <v>4.17</v>
      </c>
      <c r="B178" s="6" t="s">
        <v>148</v>
      </c>
      <c r="C178" s="43" t="s">
        <v>56</v>
      </c>
      <c r="D178" s="3" t="s">
        <v>6</v>
      </c>
      <c r="E178" s="7">
        <f>+E175</f>
        <v>95</v>
      </c>
      <c r="F178" s="27">
        <v>0.25</v>
      </c>
      <c r="G178" s="9">
        <v>2.34</v>
      </c>
      <c r="H178" s="170">
        <f>+G178*F178*E178</f>
        <v>55.574999999999996</v>
      </c>
      <c r="I178" s="24">
        <f>H178/1776</f>
        <v>0.031292229729729726</v>
      </c>
      <c r="J178" s="41" t="s">
        <v>67</v>
      </c>
    </row>
    <row r="179" spans="1:10" ht="30" customHeight="1">
      <c r="A179" s="6">
        <v>4.17</v>
      </c>
      <c r="B179" s="6" t="s">
        <v>149</v>
      </c>
      <c r="C179" s="43" t="s">
        <v>98</v>
      </c>
      <c r="D179" s="50"/>
      <c r="E179" s="12">
        <f>E170*2</f>
        <v>190</v>
      </c>
      <c r="F179" s="106">
        <v>1</v>
      </c>
      <c r="G179" s="86"/>
      <c r="H179" s="172"/>
      <c r="I179" s="87"/>
      <c r="J179" s="41" t="s">
        <v>218</v>
      </c>
    </row>
    <row r="180" spans="1:10" ht="30" customHeight="1">
      <c r="A180" s="6">
        <v>4.17</v>
      </c>
      <c r="B180" s="6" t="s">
        <v>149</v>
      </c>
      <c r="C180" s="43" t="s">
        <v>98</v>
      </c>
      <c r="D180" s="3" t="s">
        <v>89</v>
      </c>
      <c r="E180" s="7">
        <f>+E179</f>
        <v>190</v>
      </c>
      <c r="F180" s="27">
        <v>0.5</v>
      </c>
      <c r="G180" s="9">
        <v>1.32</v>
      </c>
      <c r="H180" s="170">
        <f>+G180*F180*E180</f>
        <v>125.4</v>
      </c>
      <c r="I180" s="24">
        <f aca="true" t="shared" si="6" ref="I180:I186">H180/1776</f>
        <v>0.07060810810810811</v>
      </c>
      <c r="J180" s="41" t="s">
        <v>65</v>
      </c>
    </row>
    <row r="181" spans="1:10" ht="30" customHeight="1">
      <c r="A181" s="6">
        <v>4.17</v>
      </c>
      <c r="B181" s="6" t="s">
        <v>149</v>
      </c>
      <c r="C181" s="43" t="s">
        <v>98</v>
      </c>
      <c r="D181" s="3" t="s">
        <v>60</v>
      </c>
      <c r="E181" s="7">
        <f>+E179</f>
        <v>190</v>
      </c>
      <c r="F181" s="27">
        <v>0.25</v>
      </c>
      <c r="G181" s="9">
        <v>1.32</v>
      </c>
      <c r="H181" s="170">
        <f>+G181*F181*E181</f>
        <v>62.7</v>
      </c>
      <c r="I181" s="24">
        <f t="shared" si="6"/>
        <v>0.035304054054054054</v>
      </c>
      <c r="J181" s="41" t="s">
        <v>66</v>
      </c>
    </row>
    <row r="182" spans="1:10" ht="30" customHeight="1">
      <c r="A182" s="6">
        <v>4.17</v>
      </c>
      <c r="B182" s="6" t="s">
        <v>149</v>
      </c>
      <c r="C182" s="43" t="s">
        <v>98</v>
      </c>
      <c r="D182" s="3" t="s">
        <v>6</v>
      </c>
      <c r="E182" s="7">
        <f>+E179</f>
        <v>190</v>
      </c>
      <c r="F182" s="27">
        <v>0.25</v>
      </c>
      <c r="G182" s="9">
        <v>1.32</v>
      </c>
      <c r="H182" s="170">
        <f>+G182*F182*E182</f>
        <v>62.7</v>
      </c>
      <c r="I182" s="24">
        <f t="shared" si="6"/>
        <v>0.035304054054054054</v>
      </c>
      <c r="J182" s="41" t="s">
        <v>67</v>
      </c>
    </row>
    <row r="183" spans="1:10" ht="25.5">
      <c r="A183" s="6">
        <v>4.17</v>
      </c>
      <c r="B183" s="6" t="s">
        <v>150</v>
      </c>
      <c r="C183" s="43" t="s">
        <v>58</v>
      </c>
      <c r="D183" s="55"/>
      <c r="E183" s="12">
        <f>+E179</f>
        <v>190</v>
      </c>
      <c r="F183" s="22"/>
      <c r="G183" s="86"/>
      <c r="H183" s="172"/>
      <c r="I183" s="87"/>
      <c r="J183" s="41" t="s">
        <v>218</v>
      </c>
    </row>
    <row r="184" spans="1:10" ht="25.5">
      <c r="A184" s="6">
        <v>4.17</v>
      </c>
      <c r="B184" s="6" t="s">
        <v>150</v>
      </c>
      <c r="C184" s="43" t="s">
        <v>58</v>
      </c>
      <c r="D184" s="3" t="s">
        <v>89</v>
      </c>
      <c r="E184" s="28">
        <f>+E183</f>
        <v>190</v>
      </c>
      <c r="F184" s="29">
        <v>0.5</v>
      </c>
      <c r="G184" s="83">
        <v>1.74</v>
      </c>
      <c r="H184" s="170">
        <f>+G184*F184*E184</f>
        <v>165.3</v>
      </c>
      <c r="I184" s="84">
        <f t="shared" si="6"/>
        <v>0.09307432432432433</v>
      </c>
      <c r="J184" s="85"/>
    </row>
    <row r="185" spans="1:10" ht="25.5">
      <c r="A185" s="6">
        <v>4.17</v>
      </c>
      <c r="B185" s="6" t="s">
        <v>150</v>
      </c>
      <c r="C185" s="43" t="s">
        <v>58</v>
      </c>
      <c r="D185" s="3" t="s">
        <v>60</v>
      </c>
      <c r="E185" s="28">
        <f>+E183</f>
        <v>190</v>
      </c>
      <c r="F185" s="29">
        <v>0.25</v>
      </c>
      <c r="G185" s="83">
        <v>1.74</v>
      </c>
      <c r="H185" s="170">
        <f>+G185*F185*E185</f>
        <v>82.65</v>
      </c>
      <c r="I185" s="84">
        <f t="shared" si="6"/>
        <v>0.046537162162162166</v>
      </c>
      <c r="J185" s="85"/>
    </row>
    <row r="186" spans="1:10" ht="25.5">
      <c r="A186" s="6">
        <v>4.17</v>
      </c>
      <c r="B186" s="6" t="s">
        <v>150</v>
      </c>
      <c r="C186" s="43" t="s">
        <v>58</v>
      </c>
      <c r="D186" s="3" t="s">
        <v>6</v>
      </c>
      <c r="E186" s="28">
        <f>+E183</f>
        <v>190</v>
      </c>
      <c r="F186" s="29">
        <v>0.25</v>
      </c>
      <c r="G186" s="83">
        <v>1.74</v>
      </c>
      <c r="H186" s="170">
        <f>+G186*F186*E186</f>
        <v>82.65</v>
      </c>
      <c r="I186" s="84">
        <f t="shared" si="6"/>
        <v>0.046537162162162166</v>
      </c>
      <c r="J186" s="85"/>
    </row>
    <row r="187" spans="1:10" ht="57" thickBot="1">
      <c r="A187" s="64">
        <v>4.17</v>
      </c>
      <c r="B187" s="64" t="s">
        <v>151</v>
      </c>
      <c r="C187" s="65" t="s">
        <v>82</v>
      </c>
      <c r="D187" s="110"/>
      <c r="E187" s="151">
        <f>+E170</f>
        <v>95</v>
      </c>
      <c r="F187" s="82"/>
      <c r="G187" s="108"/>
      <c r="H187" s="177"/>
      <c r="I187" s="109"/>
      <c r="J187" s="70" t="s">
        <v>165</v>
      </c>
    </row>
    <row r="188" spans="1:10" ht="12.75">
      <c r="A188" s="71">
        <v>4.18</v>
      </c>
      <c r="B188" s="71">
        <v>4.18</v>
      </c>
      <c r="C188" s="79" t="s">
        <v>17</v>
      </c>
      <c r="D188" s="73"/>
      <c r="E188" s="74"/>
      <c r="F188" s="75"/>
      <c r="G188" s="76"/>
      <c r="H188" s="162"/>
      <c r="I188" s="77"/>
      <c r="J188" s="78"/>
    </row>
    <row r="189" spans="1:10" ht="51">
      <c r="A189" s="6">
        <v>4.18</v>
      </c>
      <c r="B189" s="6">
        <v>4.18</v>
      </c>
      <c r="C189" s="43" t="s">
        <v>152</v>
      </c>
      <c r="D189" s="50"/>
      <c r="E189" s="12">
        <f>E190+E191</f>
        <v>609</v>
      </c>
      <c r="F189" s="22"/>
      <c r="G189" s="53"/>
      <c r="H189" s="172"/>
      <c r="I189" s="47"/>
      <c r="J189" s="54" t="s">
        <v>229</v>
      </c>
    </row>
    <row r="190" spans="1:10" ht="76.5">
      <c r="A190" s="6">
        <v>4.18</v>
      </c>
      <c r="B190" s="6">
        <v>4.18</v>
      </c>
      <c r="C190" s="43" t="s">
        <v>224</v>
      </c>
      <c r="D190" s="44" t="s">
        <v>100</v>
      </c>
      <c r="E190" s="28">
        <v>181</v>
      </c>
      <c r="F190" s="29">
        <v>1</v>
      </c>
      <c r="G190" s="9">
        <v>1.03</v>
      </c>
      <c r="H190" s="173">
        <f>+G190*F190*E190</f>
        <v>186.43</v>
      </c>
      <c r="I190" s="24">
        <f>H190/1776</f>
        <v>0.10497184684684685</v>
      </c>
      <c r="J190" s="41" t="s">
        <v>225</v>
      </c>
    </row>
    <row r="191" spans="1:10" ht="90">
      <c r="A191" s="6">
        <v>4.18</v>
      </c>
      <c r="B191" s="6">
        <v>4.18</v>
      </c>
      <c r="C191" s="43" t="s">
        <v>226</v>
      </c>
      <c r="D191" s="44" t="s">
        <v>100</v>
      </c>
      <c r="E191" s="28">
        <v>428</v>
      </c>
      <c r="F191" s="29">
        <v>1</v>
      </c>
      <c r="G191" s="83">
        <f>1.03+2.78</f>
        <v>3.8099999999999996</v>
      </c>
      <c r="H191" s="173">
        <f>+G191*F191*E191</f>
        <v>1630.6799999999998</v>
      </c>
      <c r="I191" s="24">
        <f>H191/1776</f>
        <v>0.9181756756756756</v>
      </c>
      <c r="J191" s="41" t="s">
        <v>227</v>
      </c>
    </row>
    <row r="192" ht="12.75">
      <c r="H192" s="178"/>
    </row>
    <row r="193" spans="1:10" ht="12.75">
      <c r="A193" s="107"/>
      <c r="B193" s="107"/>
      <c r="C193" s="4" t="s">
        <v>59</v>
      </c>
      <c r="D193" s="81"/>
      <c r="E193" s="51"/>
      <c r="F193" s="20"/>
      <c r="G193" s="53"/>
      <c r="H193" s="170">
        <f>SUM(H6:H192)</f>
        <v>36365.66949999999</v>
      </c>
      <c r="I193" s="25">
        <f>SUM(I6:I192)</f>
        <v>20.476165259009015</v>
      </c>
      <c r="J193" s="54"/>
    </row>
    <row r="195" spans="1:9" ht="38.25" customHeight="1">
      <c r="A195" s="187" t="s">
        <v>234</v>
      </c>
      <c r="B195" s="188"/>
      <c r="C195" s="188"/>
      <c r="D195" s="189"/>
      <c r="E195" s="189"/>
      <c r="F195" s="189"/>
      <c r="G195" s="189"/>
      <c r="H195" s="189"/>
      <c r="I195" s="189"/>
    </row>
    <row r="196" spans="1:9" ht="15.75" customHeight="1">
      <c r="A196" s="190" t="s">
        <v>228</v>
      </c>
      <c r="B196" s="190"/>
      <c r="C196" s="190"/>
      <c r="D196" s="191"/>
      <c r="E196" s="192"/>
      <c r="F196" s="193"/>
      <c r="G196" s="194"/>
      <c r="H196" s="194"/>
      <c r="I196" s="194"/>
    </row>
    <row r="197" spans="1:9" ht="12.75" customHeight="1">
      <c r="A197" s="190" t="s">
        <v>217</v>
      </c>
      <c r="B197" s="190"/>
      <c r="C197" s="190"/>
      <c r="D197" s="191"/>
      <c r="E197" s="192"/>
      <c r="F197" s="193"/>
      <c r="G197" s="194"/>
      <c r="H197" s="194"/>
      <c r="I197" s="194"/>
    </row>
    <row r="198" spans="1:9" ht="62.25" customHeight="1">
      <c r="A198" s="190" t="s">
        <v>233</v>
      </c>
      <c r="B198" s="190"/>
      <c r="C198" s="190"/>
      <c r="D198" s="194"/>
      <c r="E198" s="194"/>
      <c r="F198" s="194"/>
      <c r="G198" s="194"/>
      <c r="H198" s="194"/>
      <c r="I198" s="194"/>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A-3-&amp;P&amp;RTechnical Proposal</oddFooter>
  </headerFooter>
</worksheet>
</file>

<file path=xl/worksheets/sheet2.xml><?xml version="1.0" encoding="utf-8"?>
<worksheet xmlns="http://schemas.openxmlformats.org/spreadsheetml/2006/main" xmlns:r="http://schemas.openxmlformats.org/officeDocument/2006/relationships">
  <dimension ref="A1:L65"/>
  <sheetViews>
    <sheetView zoomScale="75" zoomScaleNormal="75" workbookViewId="0" topLeftCell="A34">
      <selection activeCell="B53" sqref="B53"/>
    </sheetView>
  </sheetViews>
  <sheetFormatPr defaultColWidth="9.140625" defaultRowHeight="12.75"/>
  <cols>
    <col min="1" max="1" width="35.00390625" style="0" customWidth="1"/>
    <col min="2" max="2" width="12.140625" style="0" customWidth="1"/>
    <col min="3" max="3" width="12.7109375" style="0" customWidth="1"/>
    <col min="4" max="4" width="10.7109375" style="0" customWidth="1"/>
    <col min="5" max="5" width="9.7109375" style="0" customWidth="1"/>
    <col min="6" max="6" width="10.7109375" style="0" customWidth="1"/>
    <col min="7" max="7" width="9.57421875" style="0" customWidth="1"/>
    <col min="8" max="8" width="9.7109375" style="0" customWidth="1"/>
    <col min="9" max="9" width="12.00390625" style="0" customWidth="1"/>
    <col min="10" max="10" width="12.28125" style="0" customWidth="1"/>
    <col min="11" max="11" width="10.140625" style="0" customWidth="1"/>
    <col min="12" max="12" width="14.00390625" style="0" customWidth="1"/>
  </cols>
  <sheetData>
    <row r="1" spans="1:12" ht="15.75">
      <c r="A1" s="132" t="s">
        <v>172</v>
      </c>
      <c r="B1" s="132"/>
      <c r="C1" s="133"/>
      <c r="D1" s="133"/>
      <c r="E1" s="133"/>
      <c r="F1" s="133"/>
      <c r="G1" s="133"/>
      <c r="H1" s="133"/>
      <c r="I1" s="133"/>
      <c r="J1" s="133"/>
      <c r="K1" s="133"/>
      <c r="L1" s="133"/>
    </row>
    <row r="2" spans="1:12" ht="15.75">
      <c r="A2" s="132"/>
      <c r="B2" s="132"/>
      <c r="C2" s="133"/>
      <c r="D2" s="133"/>
      <c r="E2" s="133"/>
      <c r="F2" s="133"/>
      <c r="G2" s="133"/>
      <c r="H2" s="133"/>
      <c r="I2" s="133"/>
      <c r="J2" s="133"/>
      <c r="K2" s="133"/>
      <c r="L2" s="133"/>
    </row>
    <row r="3" spans="1:12" ht="15.75">
      <c r="A3" s="132" t="s">
        <v>182</v>
      </c>
      <c r="B3" s="132"/>
      <c r="C3" s="132"/>
      <c r="D3" s="132"/>
      <c r="E3" s="132"/>
      <c r="F3" s="132"/>
      <c r="G3" s="132"/>
      <c r="H3" s="132"/>
      <c r="I3" s="132"/>
      <c r="J3" s="132"/>
      <c r="K3" s="132"/>
      <c r="L3" s="132"/>
    </row>
    <row r="5" spans="1:12" ht="66.75" customHeight="1">
      <c r="A5" s="33" t="s">
        <v>169</v>
      </c>
      <c r="B5" s="33" t="s">
        <v>69</v>
      </c>
      <c r="C5" s="33" t="s">
        <v>74</v>
      </c>
      <c r="D5" s="33" t="s">
        <v>75</v>
      </c>
      <c r="E5" s="33" t="s">
        <v>83</v>
      </c>
      <c r="F5" s="33" t="s">
        <v>72</v>
      </c>
      <c r="G5" s="33" t="s">
        <v>73</v>
      </c>
      <c r="H5" s="33" t="s">
        <v>71</v>
      </c>
      <c r="I5" s="33" t="s">
        <v>79</v>
      </c>
      <c r="J5" s="33" t="s">
        <v>81</v>
      </c>
      <c r="K5" s="33" t="s">
        <v>159</v>
      </c>
      <c r="L5" s="33" t="s">
        <v>157</v>
      </c>
    </row>
    <row r="6" spans="1:12" ht="12.75">
      <c r="A6" s="48" t="s">
        <v>84</v>
      </c>
      <c r="B6" s="46"/>
      <c r="C6" s="46"/>
      <c r="D6" s="46"/>
      <c r="E6" s="46"/>
      <c r="F6" s="46"/>
      <c r="G6" s="46"/>
      <c r="H6" s="46"/>
      <c r="I6" s="46"/>
      <c r="J6" s="47"/>
      <c r="K6" s="45"/>
      <c r="L6" s="45"/>
    </row>
    <row r="7" spans="1:12" ht="12.75">
      <c r="A7" s="111" t="s">
        <v>153</v>
      </c>
      <c r="B7" s="40" t="e">
        <f>+GETPIVOTDATA("UNADJ. TOTAL REQ. HRS (1)",'Unadjusted FTE'!$A$6,"POSITION &amp; GRADE","Program Manager GS-14")</f>
        <v>#VALUE!</v>
      </c>
      <c r="C7" s="40">
        <v>1500</v>
      </c>
      <c r="D7" s="112"/>
      <c r="E7" s="112"/>
      <c r="F7" s="40">
        <f>20*K7</f>
        <v>20</v>
      </c>
      <c r="G7" s="40">
        <f>39.5*K7</f>
        <v>39.5</v>
      </c>
      <c r="H7" s="40" t="e">
        <f>SUM(B7:G7)*0.0625</f>
        <v>#VALUE!</v>
      </c>
      <c r="I7" s="112" t="e">
        <f>SUM(B7:H7)</f>
        <v>#VALUE!</v>
      </c>
      <c r="J7" s="37" t="e">
        <f>+I7/1776</f>
        <v>#VALUE!</v>
      </c>
      <c r="K7" s="114">
        <v>1</v>
      </c>
      <c r="L7" s="30" t="s">
        <v>183</v>
      </c>
    </row>
    <row r="8" spans="1:12" ht="25.5">
      <c r="A8" s="161" t="s">
        <v>204</v>
      </c>
      <c r="B8" s="40" t="e">
        <f>+GETPIVOTDATA("UNADJ. TOTAL REQ. HRS (1)",'Unadjusted FTE'!$A$6,"POSITION &amp; GRADE","Supervisory, Quality Control Analyst GS-14")</f>
        <v>#VALUE!</v>
      </c>
      <c r="C8" s="40">
        <v>850</v>
      </c>
      <c r="D8" s="112">
        <v>600</v>
      </c>
      <c r="E8" s="112"/>
      <c r="F8" s="40">
        <f>20*K8</f>
        <v>20</v>
      </c>
      <c r="G8" s="40">
        <f>39.5*K8</f>
        <v>39.5</v>
      </c>
      <c r="H8" s="40" t="e">
        <f>SUM(B8:G8)*0.0625</f>
        <v>#VALUE!</v>
      </c>
      <c r="I8" s="112" t="e">
        <f>SUM(B8:H8)</f>
        <v>#VALUE!</v>
      </c>
      <c r="J8" s="37" t="e">
        <f>+I8/1776</f>
        <v>#VALUE!</v>
      </c>
      <c r="K8" s="114">
        <v>1</v>
      </c>
      <c r="L8" s="30" t="s">
        <v>183</v>
      </c>
    </row>
    <row r="9" spans="1:12" ht="12.75">
      <c r="A9" s="111" t="s">
        <v>203</v>
      </c>
      <c r="B9" s="113" t="e">
        <f>GETPIVOTDATA("UNADJ. TOTAL REQ. HRS (1)",'Unadjusted FTE'!$A$6,"POSITION &amp; GRADE","Quality Control Analyst GS-12/13")</f>
        <v>#VALUE!</v>
      </c>
      <c r="C9" s="40">
        <v>0</v>
      </c>
      <c r="D9" s="112">
        <v>1500</v>
      </c>
      <c r="E9" s="112"/>
      <c r="F9" s="40">
        <f>20*K9</f>
        <v>20</v>
      </c>
      <c r="G9" s="40">
        <f>39.5*K9</f>
        <v>39.5</v>
      </c>
      <c r="H9" s="40" t="e">
        <f>SUM(B9:G9)*0.0625</f>
        <v>#VALUE!</v>
      </c>
      <c r="I9" s="112" t="e">
        <f>SUM(B9:H9)</f>
        <v>#VALUE!</v>
      </c>
      <c r="J9" s="37" t="e">
        <f>+I9/1776</f>
        <v>#VALUE!</v>
      </c>
      <c r="K9" s="114">
        <v>1</v>
      </c>
      <c r="L9" s="30" t="s">
        <v>183</v>
      </c>
    </row>
    <row r="10" spans="1:12" ht="25.5">
      <c r="A10" s="161" t="s">
        <v>220</v>
      </c>
      <c r="B10" s="40" t="e">
        <f>GETPIVOTDATA("UNADJ. TOTAL REQ. HRS (1)",'Unadjusted FTE'!$A$6,"POSITION &amp; GRADE","Management Analyst (Info Systems) GS-12/13                                                     ")</f>
        <v>#VALUE!</v>
      </c>
      <c r="C10" s="40">
        <v>0</v>
      </c>
      <c r="D10" s="112"/>
      <c r="E10" s="112">
        <v>1500</v>
      </c>
      <c r="F10" s="40">
        <f>20*K10</f>
        <v>20</v>
      </c>
      <c r="G10" s="40">
        <f>39.5*K10</f>
        <v>39.5</v>
      </c>
      <c r="H10" s="40" t="e">
        <f>SUM(B10:G10)*0.0625</f>
        <v>#VALUE!</v>
      </c>
      <c r="I10" s="112" t="e">
        <f>SUM(B10:H10)</f>
        <v>#VALUE!</v>
      </c>
      <c r="J10" s="37" t="e">
        <f>+I10/1776</f>
        <v>#VALUE!</v>
      </c>
      <c r="K10" s="114">
        <v>1</v>
      </c>
      <c r="L10" s="30" t="s">
        <v>183</v>
      </c>
    </row>
    <row r="11" spans="1:12" ht="12.75">
      <c r="A11" s="111" t="s">
        <v>155</v>
      </c>
      <c r="B11" s="40">
        <v>0</v>
      </c>
      <c r="C11" s="40">
        <v>0</v>
      </c>
      <c r="D11" s="112"/>
      <c r="E11" s="112">
        <v>800</v>
      </c>
      <c r="F11" s="40">
        <f>20*K11</f>
        <v>15</v>
      </c>
      <c r="G11" s="40">
        <f>39.5*K11</f>
        <v>29.625</v>
      </c>
      <c r="H11" s="40">
        <f>SUM(B11:G11)*0.0625</f>
        <v>52.7890625</v>
      </c>
      <c r="I11" s="112">
        <f>SUM(B11:H11)</f>
        <v>897.4140625</v>
      </c>
      <c r="J11" s="37">
        <f>+I11/1776</f>
        <v>0.5053007108671171</v>
      </c>
      <c r="K11" s="114">
        <v>0.75</v>
      </c>
      <c r="L11" s="30" t="s">
        <v>183</v>
      </c>
    </row>
    <row r="12" spans="1:12" ht="12.75">
      <c r="A12" s="30"/>
      <c r="B12" s="40"/>
      <c r="C12" s="40"/>
      <c r="D12" s="112"/>
      <c r="E12" s="112"/>
      <c r="F12" s="40"/>
      <c r="G12" s="40"/>
      <c r="H12" s="40"/>
      <c r="I12" s="112"/>
      <c r="J12" s="37"/>
      <c r="K12" s="114"/>
      <c r="L12" s="30"/>
    </row>
    <row r="13" spans="1:12" ht="12.75">
      <c r="A13" s="48" t="s">
        <v>161</v>
      </c>
      <c r="B13" s="52"/>
      <c r="C13" s="52"/>
      <c r="D13" s="52"/>
      <c r="E13" s="52"/>
      <c r="F13" s="52"/>
      <c r="G13" s="52"/>
      <c r="H13" s="52"/>
      <c r="I13" s="52"/>
      <c r="J13" s="47"/>
      <c r="K13" s="51"/>
      <c r="L13" s="45"/>
    </row>
    <row r="14" spans="1:12" ht="12.75">
      <c r="A14" s="111" t="s">
        <v>139</v>
      </c>
      <c r="B14" s="40" t="e">
        <f>+GETPIVOTDATA("UNADJ. TOTAL REQ. HRS (1)",'Unadjusted FTE'!$A$6,"POSITION &amp; GRADE","Supervisory Program Specialist GS-11")</f>
        <v>#VALUE!</v>
      </c>
      <c r="C14" s="40">
        <v>1250</v>
      </c>
      <c r="D14" s="112">
        <v>200</v>
      </c>
      <c r="E14" s="112"/>
      <c r="F14" s="40">
        <f>20*K14</f>
        <v>20</v>
      </c>
      <c r="G14" s="40">
        <f>39.5*K14</f>
        <v>39.5</v>
      </c>
      <c r="H14" s="40" t="e">
        <f>SUM(B14:G14)*0.0625</f>
        <v>#VALUE!</v>
      </c>
      <c r="I14" s="112" t="e">
        <f>SUM(B14:H14)</f>
        <v>#VALUE!</v>
      </c>
      <c r="J14" s="37" t="e">
        <f>+I14/1776</f>
        <v>#VALUE!</v>
      </c>
      <c r="K14" s="114">
        <v>1</v>
      </c>
      <c r="L14" s="30" t="s">
        <v>183</v>
      </c>
    </row>
    <row r="15" spans="1:12" ht="12.75">
      <c r="A15" s="30" t="s">
        <v>101</v>
      </c>
      <c r="B15" s="40" t="e">
        <f>+GETPIVOTDATA("UNADJ. TOTAL REQ. HRS (1)",'Unadjusted FTE'!$A$6,"POSITION &amp; GRADE","Program Specialist GS-09")</f>
        <v>#VALUE!</v>
      </c>
      <c r="C15" s="40">
        <v>0</v>
      </c>
      <c r="D15" s="112"/>
      <c r="E15" s="112"/>
      <c r="F15" s="40">
        <f>20*K15</f>
        <v>60</v>
      </c>
      <c r="G15" s="40">
        <f>39.5*K15</f>
        <v>118.5</v>
      </c>
      <c r="H15" s="40" t="e">
        <f>SUM(B15:G15)*0.0625</f>
        <v>#VALUE!</v>
      </c>
      <c r="I15" s="112" t="e">
        <f>SUM(B15:H15)</f>
        <v>#VALUE!</v>
      </c>
      <c r="J15" s="37" t="e">
        <f>+I15/1776</f>
        <v>#VALUE!</v>
      </c>
      <c r="K15" s="11">
        <v>3</v>
      </c>
      <c r="L15" s="30" t="s">
        <v>186</v>
      </c>
    </row>
    <row r="16" spans="1:12" ht="12.75">
      <c r="A16" s="30" t="s">
        <v>129</v>
      </c>
      <c r="B16" s="40" t="e">
        <f>+GETPIVOTDATA("UNADJ. TOTAL REQ. HRS (1)",'Unadjusted FTE'!$A$6,"POSITION &amp; GRADE","Program Specialist GS-07      ")</f>
        <v>#VALUE!</v>
      </c>
      <c r="C16" s="40">
        <v>0</v>
      </c>
      <c r="D16" s="112"/>
      <c r="E16" s="112"/>
      <c r="F16" s="40">
        <f>20*K16</f>
        <v>220</v>
      </c>
      <c r="G16" s="40">
        <f>39.5*K16</f>
        <v>434.5</v>
      </c>
      <c r="H16" s="40" t="e">
        <f>SUM(B16:G16)*0.0625</f>
        <v>#VALUE!</v>
      </c>
      <c r="I16" s="112" t="e">
        <f>SUM(B16:H16)</f>
        <v>#VALUE!</v>
      </c>
      <c r="J16" s="37" t="e">
        <f>+I16/1776</f>
        <v>#VALUE!</v>
      </c>
      <c r="K16" s="181">
        <v>11</v>
      </c>
      <c r="L16" s="30" t="s">
        <v>186</v>
      </c>
    </row>
    <row r="17" spans="1:12" ht="12.75">
      <c r="A17" s="30" t="s">
        <v>130</v>
      </c>
      <c r="B17" s="40">
        <v>0</v>
      </c>
      <c r="C17" s="40">
        <v>0</v>
      </c>
      <c r="D17" s="112"/>
      <c r="E17" s="112">
        <v>1300</v>
      </c>
      <c r="F17" s="40">
        <f>20*K17</f>
        <v>20</v>
      </c>
      <c r="G17" s="40">
        <f>39.5*K17</f>
        <v>39.5</v>
      </c>
      <c r="H17" s="40">
        <f>SUM(B17:G17)*0.0625</f>
        <v>84.96875</v>
      </c>
      <c r="I17" s="112">
        <f>SUM(B17:H17)</f>
        <v>1444.46875</v>
      </c>
      <c r="J17" s="37">
        <f>+I17/1776</f>
        <v>0.8133269988738738</v>
      </c>
      <c r="K17" s="114">
        <v>1</v>
      </c>
      <c r="L17" s="30" t="s">
        <v>183</v>
      </c>
    </row>
    <row r="18" spans="1:12" ht="12.75">
      <c r="A18" s="30"/>
      <c r="B18" s="40"/>
      <c r="C18" s="40"/>
      <c r="D18" s="112"/>
      <c r="E18" s="112"/>
      <c r="F18" s="40"/>
      <c r="G18" s="40"/>
      <c r="H18" s="40"/>
      <c r="I18" s="112"/>
      <c r="J18" s="37"/>
      <c r="K18" s="114"/>
      <c r="L18" s="30"/>
    </row>
    <row r="19" spans="1:12" ht="12.75">
      <c r="A19" s="48" t="s">
        <v>162</v>
      </c>
      <c r="B19" s="52"/>
      <c r="C19" s="52"/>
      <c r="D19" s="52"/>
      <c r="E19" s="52"/>
      <c r="F19" s="52"/>
      <c r="G19" s="52"/>
      <c r="H19" s="52"/>
      <c r="I19" s="52"/>
      <c r="J19" s="47"/>
      <c r="K19" s="51"/>
      <c r="L19" s="45"/>
    </row>
    <row r="20" spans="1:12" ht="12.75">
      <c r="A20" s="30" t="s">
        <v>61</v>
      </c>
      <c r="B20" s="40" t="e">
        <f>+GETPIVOTDATA("UNADJ. TOTAL REQ. HRS (1)",'Unadjusted FTE'!$A$6,"POSITION &amp; GRADE","Supervisory Financial Analyst GS-13")</f>
        <v>#VALUE!</v>
      </c>
      <c r="C20" s="40">
        <v>1200</v>
      </c>
      <c r="D20" s="112">
        <v>150</v>
      </c>
      <c r="E20" s="112"/>
      <c r="F20" s="40">
        <f aca="true" t="shared" si="0" ref="F20:F26">20*K20</f>
        <v>20</v>
      </c>
      <c r="G20" s="40">
        <f aca="true" t="shared" si="1" ref="G20:G26">39.5*K20</f>
        <v>39.5</v>
      </c>
      <c r="H20" s="40" t="e">
        <f aca="true" t="shared" si="2" ref="H20:H26">SUM(B20:G20)*0.0625</f>
        <v>#VALUE!</v>
      </c>
      <c r="I20" s="112" t="e">
        <f aca="true" t="shared" si="3" ref="I20:I26">SUM(B20:H20)</f>
        <v>#VALUE!</v>
      </c>
      <c r="J20" s="37" t="e">
        <f aca="true" t="shared" si="4" ref="J20:J26">+I20/1776</f>
        <v>#VALUE!</v>
      </c>
      <c r="K20" s="114">
        <v>1</v>
      </c>
      <c r="L20" s="30" t="s">
        <v>183</v>
      </c>
    </row>
    <row r="21" spans="1:12" ht="12.75">
      <c r="A21" s="30" t="s">
        <v>6</v>
      </c>
      <c r="B21" s="40" t="e">
        <f>+GETPIVOTDATA("UNADJ. TOTAL REQ. HRS (1)",'Unadjusted FTE'!$A$6,"POSITION &amp; GRADE","Financial Analyst GS-12")</f>
        <v>#VALUE!</v>
      </c>
      <c r="C21" s="40">
        <v>0</v>
      </c>
      <c r="D21" s="112"/>
      <c r="E21" s="112"/>
      <c r="F21" s="40">
        <f t="shared" si="0"/>
        <v>60</v>
      </c>
      <c r="G21" s="40">
        <f t="shared" si="1"/>
        <v>118.5</v>
      </c>
      <c r="H21" s="40" t="e">
        <f t="shared" si="2"/>
        <v>#VALUE!</v>
      </c>
      <c r="I21" s="112" t="e">
        <f t="shared" si="3"/>
        <v>#VALUE!</v>
      </c>
      <c r="J21" s="37" t="e">
        <f>+I21/1776</f>
        <v>#VALUE!</v>
      </c>
      <c r="K21" s="114">
        <v>3</v>
      </c>
      <c r="L21" s="30" t="s">
        <v>183</v>
      </c>
    </row>
    <row r="22" spans="1:12" ht="12.75">
      <c r="A22" s="30" t="s">
        <v>60</v>
      </c>
      <c r="B22" s="40" t="e">
        <f>+GETPIVOTDATA("UNADJ. TOTAL REQ. HRS (1)",'Unadjusted FTE'!$A$6,"POSITION &amp; GRADE","Financial Analyst GS-11")</f>
        <v>#VALUE!</v>
      </c>
      <c r="C22" s="40">
        <v>0</v>
      </c>
      <c r="D22" s="112"/>
      <c r="E22" s="112"/>
      <c r="F22" s="40">
        <f t="shared" si="0"/>
        <v>40</v>
      </c>
      <c r="G22" s="40">
        <f t="shared" si="1"/>
        <v>79</v>
      </c>
      <c r="H22" s="40" t="e">
        <f t="shared" si="2"/>
        <v>#VALUE!</v>
      </c>
      <c r="I22" s="112" t="e">
        <f t="shared" si="3"/>
        <v>#VALUE!</v>
      </c>
      <c r="J22" s="37" t="e">
        <f t="shared" si="4"/>
        <v>#VALUE!</v>
      </c>
      <c r="K22" s="114">
        <v>2</v>
      </c>
      <c r="L22" s="30" t="s">
        <v>183</v>
      </c>
    </row>
    <row r="23" spans="1:12" ht="12.75">
      <c r="A23" s="30" t="s">
        <v>89</v>
      </c>
      <c r="B23" s="40" t="e">
        <f>+GETPIVOTDATA("UNADJ. TOTAL REQ. HRS (1)",'Unadjusted FTE'!$A$6,"POSITION &amp; GRADE","Financial Analyst GS-09")</f>
        <v>#VALUE!</v>
      </c>
      <c r="C23" s="40">
        <v>0</v>
      </c>
      <c r="D23" s="112"/>
      <c r="E23" s="112"/>
      <c r="F23" s="40">
        <f t="shared" si="0"/>
        <v>40</v>
      </c>
      <c r="G23" s="40">
        <f t="shared" si="1"/>
        <v>79</v>
      </c>
      <c r="H23" s="40" t="e">
        <f t="shared" si="2"/>
        <v>#VALUE!</v>
      </c>
      <c r="I23" s="112" t="e">
        <f t="shared" si="3"/>
        <v>#VALUE!</v>
      </c>
      <c r="J23" s="37" t="e">
        <f t="shared" si="4"/>
        <v>#VALUE!</v>
      </c>
      <c r="K23" s="114">
        <v>2</v>
      </c>
      <c r="L23" s="30" t="s">
        <v>183</v>
      </c>
    </row>
    <row r="24" spans="1:12" ht="12.75">
      <c r="A24" s="30" t="s">
        <v>128</v>
      </c>
      <c r="B24" s="40" t="e">
        <f>+GETPIVOTDATA("UNADJ. TOTAL REQ. HRS (1)",'Unadjusted FTE'!$A$6,"POSITION &amp; GRADE","Prgm. Assistant (0303) GS-07")</f>
        <v>#VALUE!</v>
      </c>
      <c r="C24" s="40">
        <v>0</v>
      </c>
      <c r="D24" s="112"/>
      <c r="E24" s="112"/>
      <c r="F24" s="40">
        <f t="shared" si="0"/>
        <v>40</v>
      </c>
      <c r="G24" s="40">
        <f t="shared" si="1"/>
        <v>79</v>
      </c>
      <c r="H24" s="40" t="e">
        <f t="shared" si="2"/>
        <v>#VALUE!</v>
      </c>
      <c r="I24" s="112" t="e">
        <f t="shared" si="3"/>
        <v>#VALUE!</v>
      </c>
      <c r="J24" s="37" t="e">
        <f>+I24/1776</f>
        <v>#VALUE!</v>
      </c>
      <c r="K24" s="11">
        <v>2</v>
      </c>
      <c r="L24" s="30" t="s">
        <v>183</v>
      </c>
    </row>
    <row r="25" spans="1:12" ht="12.75">
      <c r="A25" s="30" t="s">
        <v>130</v>
      </c>
      <c r="B25" s="40" t="e">
        <f>+GETPIVOTDATA("UNADJ. TOTAL REQ. HRS (1)",'Unadjusted FTE'!$A$6,"POSITION &amp; GRADE","Prgm. Assistant (0303) GS-06")</f>
        <v>#VALUE!</v>
      </c>
      <c r="C25" s="40">
        <v>0</v>
      </c>
      <c r="D25" s="112"/>
      <c r="E25" s="112"/>
      <c r="F25" s="40">
        <f t="shared" si="0"/>
        <v>20</v>
      </c>
      <c r="G25" s="40">
        <f t="shared" si="1"/>
        <v>39.5</v>
      </c>
      <c r="H25" s="40" t="e">
        <f>SUM(B25:G25)*0.0625</f>
        <v>#VALUE!</v>
      </c>
      <c r="I25" s="112" t="e">
        <f>SUM(B25:H25)</f>
        <v>#VALUE!</v>
      </c>
      <c r="J25" s="37" t="e">
        <f>+I25/1776</f>
        <v>#VALUE!</v>
      </c>
      <c r="K25" s="114">
        <v>1</v>
      </c>
      <c r="L25" s="30" t="s">
        <v>183</v>
      </c>
    </row>
    <row r="26" spans="1:12" ht="13.5" thickBot="1">
      <c r="A26" s="125" t="s">
        <v>167</v>
      </c>
      <c r="B26" s="126" t="e">
        <f>+GETPIVOTDATA("UNADJ. TOTAL REQ. HRS (1)",'Unadjusted FTE'!$A$6,"POSITION &amp; GRADE","Prgm. Assistant (0303) GS-05")</f>
        <v>#VALUE!</v>
      </c>
      <c r="C26" s="126">
        <v>0</v>
      </c>
      <c r="D26" s="127"/>
      <c r="E26" s="127"/>
      <c r="F26" s="126">
        <f t="shared" si="0"/>
        <v>0</v>
      </c>
      <c r="G26" s="126">
        <f t="shared" si="1"/>
        <v>0</v>
      </c>
      <c r="H26" s="126" t="e">
        <f t="shared" si="2"/>
        <v>#VALUE!</v>
      </c>
      <c r="I26" s="127" t="e">
        <f t="shared" si="3"/>
        <v>#VALUE!</v>
      </c>
      <c r="J26" s="128" t="e">
        <f t="shared" si="4"/>
        <v>#VALUE!</v>
      </c>
      <c r="K26" s="129">
        <v>0</v>
      </c>
      <c r="L26" s="30" t="s">
        <v>183</v>
      </c>
    </row>
    <row r="27" spans="1:12" ht="12.75">
      <c r="A27" s="123" t="s">
        <v>59</v>
      </c>
      <c r="B27" s="124" t="e">
        <f aca="true" t="shared" si="5" ref="B27:K27">SUM(B7:B26)</f>
        <v>#VALUE!</v>
      </c>
      <c r="C27" s="124">
        <f t="shared" si="5"/>
        <v>4800</v>
      </c>
      <c r="D27" s="124">
        <f t="shared" si="5"/>
        <v>2450</v>
      </c>
      <c r="E27" s="124">
        <f t="shared" si="5"/>
        <v>3600</v>
      </c>
      <c r="F27" s="124">
        <f t="shared" si="5"/>
        <v>635</v>
      </c>
      <c r="G27" s="124">
        <f t="shared" si="5"/>
        <v>1254.125</v>
      </c>
      <c r="H27" s="124" t="e">
        <f t="shared" si="5"/>
        <v>#VALUE!</v>
      </c>
      <c r="I27" s="124" t="e">
        <f t="shared" si="5"/>
        <v>#VALUE!</v>
      </c>
      <c r="J27" s="163" t="e">
        <f t="shared" si="5"/>
        <v>#VALUE!</v>
      </c>
      <c r="K27" s="163">
        <f t="shared" si="5"/>
        <v>31.75</v>
      </c>
      <c r="L27" s="134"/>
    </row>
    <row r="28" spans="1:5" ht="12.75">
      <c r="A28" s="32"/>
      <c r="B28" s="32"/>
      <c r="C28" s="32"/>
      <c r="D28" s="32"/>
      <c r="E28" s="32"/>
    </row>
    <row r="29" spans="1:11" ht="12.75">
      <c r="A29" s="31" t="s">
        <v>76</v>
      </c>
      <c r="B29" s="31"/>
      <c r="C29" s="31"/>
      <c r="D29" s="31"/>
      <c r="E29" s="31"/>
      <c r="J29" s="131" t="s">
        <v>160</v>
      </c>
      <c r="K29" s="130">
        <f>+K27*1776</f>
        <v>56388</v>
      </c>
    </row>
    <row r="30" spans="1:6" ht="12.75">
      <c r="A30" s="31" t="s">
        <v>156</v>
      </c>
      <c r="B30" s="31"/>
      <c r="C30" s="31"/>
      <c r="D30" s="31"/>
      <c r="E30" s="31"/>
      <c r="F30" s="31"/>
    </row>
    <row r="31" spans="1:6" ht="12.75">
      <c r="A31" s="31" t="s">
        <v>205</v>
      </c>
      <c r="B31" s="31"/>
      <c r="C31" s="31"/>
      <c r="D31" s="31"/>
      <c r="F31" s="31"/>
    </row>
    <row r="32" spans="1:6" ht="12.75">
      <c r="A32" s="31" t="s">
        <v>77</v>
      </c>
      <c r="B32" s="31"/>
      <c r="C32" s="31"/>
      <c r="D32" s="31"/>
      <c r="E32" s="31"/>
      <c r="F32" s="31"/>
    </row>
    <row r="33" spans="1:6" ht="12.75">
      <c r="A33" s="31" t="s">
        <v>78</v>
      </c>
      <c r="B33" s="31"/>
      <c r="C33" s="31"/>
      <c r="D33" s="31"/>
      <c r="E33" s="31"/>
      <c r="F33" s="31"/>
    </row>
    <row r="34" spans="1:6" ht="12.75">
      <c r="A34" s="31" t="s">
        <v>206</v>
      </c>
      <c r="B34" s="31"/>
      <c r="C34" s="31"/>
      <c r="D34" s="31"/>
      <c r="E34" s="31"/>
      <c r="F34" s="31"/>
    </row>
    <row r="35" spans="1:6" ht="12.75">
      <c r="A35" s="31" t="s">
        <v>207</v>
      </c>
      <c r="B35" s="31"/>
      <c r="C35" s="31"/>
      <c r="D35" s="31"/>
      <c r="E35" s="31"/>
      <c r="F35" s="31"/>
    </row>
    <row r="36" spans="1:6" ht="12.75">
      <c r="A36" s="31" t="s">
        <v>80</v>
      </c>
      <c r="B36" s="31"/>
      <c r="C36" s="31"/>
      <c r="D36" s="31"/>
      <c r="E36" s="31"/>
      <c r="F36" s="31"/>
    </row>
    <row r="37" ht="12.75">
      <c r="A37" t="s">
        <v>158</v>
      </c>
    </row>
    <row r="38" ht="12.75">
      <c r="A38" t="s">
        <v>163</v>
      </c>
    </row>
    <row r="42" spans="1:3" ht="25.5">
      <c r="A42" s="33" t="s">
        <v>169</v>
      </c>
      <c r="B42" s="33" t="s">
        <v>168</v>
      </c>
      <c r="C42" s="33" t="s">
        <v>157</v>
      </c>
    </row>
    <row r="43" spans="1:3" ht="12.75">
      <c r="A43" s="48" t="s">
        <v>84</v>
      </c>
      <c r="B43" s="45"/>
      <c r="C43" s="45"/>
    </row>
    <row r="44" spans="1:3" ht="12.75">
      <c r="A44" s="111" t="s">
        <v>153</v>
      </c>
      <c r="B44" s="114">
        <f aca="true" t="shared" si="6" ref="B44:C48">K7</f>
        <v>1</v>
      </c>
      <c r="C44" s="30" t="str">
        <f t="shared" si="6"/>
        <v>LITTLE ROCK</v>
      </c>
    </row>
    <row r="45" spans="1:3" ht="25.5">
      <c r="A45" s="161" t="s">
        <v>204</v>
      </c>
      <c r="B45" s="114">
        <f t="shared" si="6"/>
        <v>1</v>
      </c>
      <c r="C45" s="30" t="str">
        <f t="shared" si="6"/>
        <v>LITTLE ROCK</v>
      </c>
    </row>
    <row r="46" spans="1:3" ht="12.75">
      <c r="A46" s="111" t="s">
        <v>203</v>
      </c>
      <c r="B46" s="114">
        <f t="shared" si="6"/>
        <v>1</v>
      </c>
      <c r="C46" s="30" t="str">
        <f t="shared" si="6"/>
        <v>LITTLE ROCK</v>
      </c>
    </row>
    <row r="47" spans="1:3" ht="25.5">
      <c r="A47" s="161" t="s">
        <v>220</v>
      </c>
      <c r="B47" s="114">
        <f t="shared" si="6"/>
        <v>1</v>
      </c>
      <c r="C47" s="30" t="str">
        <f t="shared" si="6"/>
        <v>LITTLE ROCK</v>
      </c>
    </row>
    <row r="48" spans="1:3" ht="12.75">
      <c r="A48" s="111" t="s">
        <v>155</v>
      </c>
      <c r="B48" s="114">
        <f t="shared" si="6"/>
        <v>0.75</v>
      </c>
      <c r="C48" s="30" t="str">
        <f t="shared" si="6"/>
        <v>LITTLE ROCK</v>
      </c>
    </row>
    <row r="49" spans="1:3" ht="12.75">
      <c r="A49" s="30"/>
      <c r="B49" s="114"/>
      <c r="C49" s="30"/>
    </row>
    <row r="50" spans="1:3" ht="12.75">
      <c r="A50" s="48" t="s">
        <v>161</v>
      </c>
      <c r="B50" s="51"/>
      <c r="C50" s="45"/>
    </row>
    <row r="51" spans="1:3" ht="12.75">
      <c r="A51" s="111" t="s">
        <v>139</v>
      </c>
      <c r="B51" s="114">
        <f aca="true" t="shared" si="7" ref="B51:C53">K14</f>
        <v>1</v>
      </c>
      <c r="C51" s="30" t="str">
        <f t="shared" si="7"/>
        <v>LITTLE ROCK</v>
      </c>
    </row>
    <row r="52" spans="1:3" ht="12.75">
      <c r="A52" s="30" t="s">
        <v>101</v>
      </c>
      <c r="B52" s="11">
        <f t="shared" si="7"/>
        <v>3</v>
      </c>
      <c r="C52" s="30" t="str">
        <f t="shared" si="7"/>
        <v>Outstationed</v>
      </c>
    </row>
    <row r="53" spans="1:3" ht="12.75">
      <c r="A53" s="30" t="s">
        <v>129</v>
      </c>
      <c r="B53" s="181">
        <f t="shared" si="7"/>
        <v>11</v>
      </c>
      <c r="C53" s="30" t="str">
        <f t="shared" si="7"/>
        <v>Outstationed</v>
      </c>
    </row>
    <row r="54" spans="1:3" ht="12.75">
      <c r="A54" s="30" t="s">
        <v>130</v>
      </c>
      <c r="B54" s="114">
        <f aca="true" t="shared" si="8" ref="B54:B62">K17</f>
        <v>1</v>
      </c>
      <c r="C54" s="30" t="str">
        <f aca="true" t="shared" si="9" ref="C54:C62">L17</f>
        <v>LITTLE ROCK</v>
      </c>
    </row>
    <row r="55" spans="1:3" ht="12.75">
      <c r="A55" s="30"/>
      <c r="B55" s="114"/>
      <c r="C55" s="30"/>
    </row>
    <row r="56" spans="1:3" ht="12.75">
      <c r="A56" s="48" t="s">
        <v>162</v>
      </c>
      <c r="B56" s="51"/>
      <c r="C56" s="45"/>
    </row>
    <row r="57" spans="1:3" ht="12.75">
      <c r="A57" s="30" t="s">
        <v>61</v>
      </c>
      <c r="B57" s="114">
        <f t="shared" si="8"/>
        <v>1</v>
      </c>
      <c r="C57" s="30" t="str">
        <f t="shared" si="9"/>
        <v>LITTLE ROCK</v>
      </c>
    </row>
    <row r="58" spans="1:3" ht="12.75">
      <c r="A58" s="30" t="s">
        <v>6</v>
      </c>
      <c r="B58" s="114">
        <f t="shared" si="8"/>
        <v>3</v>
      </c>
      <c r="C58" s="30" t="str">
        <f t="shared" si="9"/>
        <v>LITTLE ROCK</v>
      </c>
    </row>
    <row r="59" spans="1:3" ht="12.75">
      <c r="A59" s="30" t="s">
        <v>60</v>
      </c>
      <c r="B59" s="114">
        <f t="shared" si="8"/>
        <v>2</v>
      </c>
      <c r="C59" s="30" t="str">
        <f t="shared" si="9"/>
        <v>LITTLE ROCK</v>
      </c>
    </row>
    <row r="60" spans="1:3" ht="12.75">
      <c r="A60" s="30" t="s">
        <v>89</v>
      </c>
      <c r="B60" s="114">
        <f t="shared" si="8"/>
        <v>2</v>
      </c>
      <c r="C60" s="30" t="str">
        <f t="shared" si="9"/>
        <v>LITTLE ROCK</v>
      </c>
    </row>
    <row r="61" spans="1:3" ht="12.75">
      <c r="A61" s="30" t="s">
        <v>128</v>
      </c>
      <c r="B61" s="11">
        <f t="shared" si="8"/>
        <v>2</v>
      </c>
      <c r="C61" s="30" t="str">
        <f t="shared" si="9"/>
        <v>LITTLE ROCK</v>
      </c>
    </row>
    <row r="62" spans="1:3" ht="13.5" thickBot="1">
      <c r="A62" s="115" t="s">
        <v>130</v>
      </c>
      <c r="B62" s="164">
        <f t="shared" si="8"/>
        <v>1</v>
      </c>
      <c r="C62" s="115" t="str">
        <f t="shared" si="9"/>
        <v>LITTLE ROCK</v>
      </c>
    </row>
    <row r="63" spans="1:3" ht="12.75">
      <c r="A63" s="165" t="s">
        <v>59</v>
      </c>
      <c r="B63" s="166">
        <f>K27</f>
        <v>31.75</v>
      </c>
      <c r="C63" s="162"/>
    </row>
    <row r="65" ht="12.75">
      <c r="C65" s="149"/>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 Agency Tender&amp;CAppendix B-3-&amp;P&amp;RTechnical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U30"/>
  <sheetViews>
    <sheetView zoomScale="75" zoomScaleNormal="75" workbookViewId="0" topLeftCell="A1">
      <selection activeCell="K26" sqref="K26"/>
    </sheetView>
  </sheetViews>
  <sheetFormatPr defaultColWidth="9.140625" defaultRowHeight="12.75"/>
  <cols>
    <col min="1" max="1" width="38.28125" style="0" customWidth="1"/>
    <col min="2" max="2" width="12.7109375" style="0" customWidth="1"/>
    <col min="3" max="4" width="5.57421875" style="0" bestFit="1" customWidth="1"/>
    <col min="5" max="5" width="5.140625" style="0" bestFit="1" customWidth="1"/>
    <col min="6" max="7" width="5.57421875" style="0" bestFit="1" customWidth="1"/>
    <col min="8" max="8" width="7.140625" style="0" bestFit="1" customWidth="1"/>
    <col min="9" max="9" width="6.00390625" style="0" bestFit="1" customWidth="1"/>
    <col min="10" max="10" width="7.140625" style="0" bestFit="1" customWidth="1"/>
    <col min="11" max="11" width="8.140625" style="0" bestFit="1" customWidth="1"/>
    <col min="12" max="17" width="5.57421875" style="0" bestFit="1" customWidth="1"/>
    <col min="18" max="18" width="4.57421875" style="0" bestFit="1" customWidth="1"/>
    <col min="19" max="19" width="7.140625" style="0" bestFit="1" customWidth="1"/>
    <col min="20" max="21" width="11.7109375" style="0" customWidth="1"/>
    <col min="22" max="55" width="12.8515625" style="0" bestFit="1" customWidth="1"/>
    <col min="56" max="56" width="12.7109375" style="0" bestFit="1" customWidth="1"/>
  </cols>
  <sheetData>
    <row r="1" spans="1:20" ht="15.75">
      <c r="A1" s="132" t="s">
        <v>171</v>
      </c>
      <c r="B1" s="133"/>
      <c r="C1" s="133"/>
      <c r="D1" s="133"/>
      <c r="E1" s="133"/>
      <c r="F1" s="133"/>
      <c r="G1" s="133"/>
      <c r="H1" s="133"/>
      <c r="I1" s="133"/>
      <c r="J1" s="133"/>
      <c r="K1" s="133"/>
      <c r="L1" s="133"/>
      <c r="M1" s="133"/>
      <c r="N1" s="133"/>
      <c r="O1" s="133"/>
      <c r="P1" s="133"/>
      <c r="Q1" s="133"/>
      <c r="R1" s="133"/>
      <c r="S1" s="133"/>
      <c r="T1" s="133"/>
    </row>
    <row r="2" spans="1:20" ht="15.75">
      <c r="A2" s="132"/>
      <c r="B2" s="133"/>
      <c r="C2" s="133"/>
      <c r="D2" s="133"/>
      <c r="E2" s="133"/>
      <c r="F2" s="133"/>
      <c r="G2" s="133"/>
      <c r="H2" s="133"/>
      <c r="I2" s="133"/>
      <c r="J2" s="133"/>
      <c r="K2" s="133"/>
      <c r="L2" s="133"/>
      <c r="M2" s="133"/>
      <c r="N2" s="133"/>
      <c r="O2" s="133"/>
      <c r="P2" s="133"/>
      <c r="Q2" s="133"/>
      <c r="R2" s="133"/>
      <c r="S2" s="133"/>
      <c r="T2" s="133"/>
    </row>
    <row r="3" spans="1:20" ht="15.75">
      <c r="A3" s="132" t="s">
        <v>184</v>
      </c>
      <c r="B3" s="132"/>
      <c r="C3" s="132"/>
      <c r="D3" s="132"/>
      <c r="E3" s="132"/>
      <c r="F3" s="132"/>
      <c r="G3" s="132"/>
      <c r="H3" s="132"/>
      <c r="I3" s="132"/>
      <c r="J3" s="132"/>
      <c r="K3" s="132"/>
      <c r="L3" s="133"/>
      <c r="M3" s="133"/>
      <c r="N3" s="133"/>
      <c r="O3" s="133"/>
      <c r="P3" s="133"/>
      <c r="Q3" s="133"/>
      <c r="R3" s="133"/>
      <c r="S3" s="133"/>
      <c r="T3" s="133"/>
    </row>
    <row r="5" spans="1:20" ht="12.75" hidden="1">
      <c r="A5" s="179" t="s">
        <v>107</v>
      </c>
      <c r="B5" s="49" t="s">
        <v>85</v>
      </c>
      <c r="C5" s="88"/>
      <c r="D5" s="88"/>
      <c r="E5" s="88"/>
      <c r="F5" s="88"/>
      <c r="G5" s="88"/>
      <c r="H5" s="88"/>
      <c r="I5" s="88"/>
      <c r="J5" s="88"/>
      <c r="K5" s="88"/>
      <c r="L5" s="88"/>
      <c r="M5" s="88"/>
      <c r="N5" s="88"/>
      <c r="O5" s="88"/>
      <c r="P5" s="88"/>
      <c r="Q5" s="88"/>
      <c r="R5" s="88"/>
      <c r="S5" s="88"/>
      <c r="T5" s="89"/>
    </row>
    <row r="6" spans="1:20" ht="12.75">
      <c r="A6" s="182" t="s">
        <v>1</v>
      </c>
      <c r="B6" s="183">
        <v>4.1</v>
      </c>
      <c r="C6" s="183">
        <v>4.11</v>
      </c>
      <c r="D6" s="183">
        <v>4.12</v>
      </c>
      <c r="E6" s="183">
        <v>4.13</v>
      </c>
      <c r="F6" s="183">
        <v>4.14</v>
      </c>
      <c r="G6" s="183">
        <v>4.15</v>
      </c>
      <c r="H6" s="183">
        <v>4.16</v>
      </c>
      <c r="I6" s="183">
        <v>4.17</v>
      </c>
      <c r="J6" s="183">
        <v>4.18</v>
      </c>
      <c r="K6" s="183">
        <v>4.2</v>
      </c>
      <c r="L6" s="183">
        <v>4.3</v>
      </c>
      <c r="M6" s="183">
        <v>4.4</v>
      </c>
      <c r="N6" s="183">
        <v>4.5</v>
      </c>
      <c r="O6" s="183">
        <v>4.6</v>
      </c>
      <c r="P6" s="183">
        <v>4.7</v>
      </c>
      <c r="Q6" s="183">
        <v>4.8</v>
      </c>
      <c r="R6" s="183">
        <v>4.9</v>
      </c>
      <c r="S6" s="183" t="s">
        <v>170</v>
      </c>
      <c r="T6" s="184" t="s">
        <v>87</v>
      </c>
    </row>
    <row r="7" spans="1:20" ht="12.75" hidden="1">
      <c r="A7" s="161" t="s">
        <v>86</v>
      </c>
      <c r="B7" s="185"/>
      <c r="C7" s="185"/>
      <c r="D7" s="185"/>
      <c r="E7" s="185"/>
      <c r="F7" s="185"/>
      <c r="G7" s="185"/>
      <c r="H7" s="185"/>
      <c r="I7" s="185"/>
      <c r="J7" s="185"/>
      <c r="K7" s="185"/>
      <c r="L7" s="185"/>
      <c r="M7" s="185"/>
      <c r="N7" s="185"/>
      <c r="O7" s="185"/>
      <c r="P7" s="185">
        <v>0</v>
      </c>
      <c r="Q7" s="185"/>
      <c r="R7" s="185"/>
      <c r="S7" s="185"/>
      <c r="T7" s="185">
        <v>0</v>
      </c>
    </row>
    <row r="8" spans="1:20" ht="12.75">
      <c r="A8" s="161" t="s">
        <v>89</v>
      </c>
      <c r="B8" s="185">
        <v>556</v>
      </c>
      <c r="C8" s="185">
        <v>218.4</v>
      </c>
      <c r="D8" s="185"/>
      <c r="E8" s="185"/>
      <c r="F8" s="185">
        <v>171.828</v>
      </c>
      <c r="G8" s="185">
        <v>10.285</v>
      </c>
      <c r="H8" s="185">
        <v>86.0625</v>
      </c>
      <c r="I8" s="185">
        <v>441.275</v>
      </c>
      <c r="J8" s="185"/>
      <c r="K8" s="185"/>
      <c r="L8" s="185"/>
      <c r="M8" s="185">
        <v>360.58975</v>
      </c>
      <c r="N8" s="185"/>
      <c r="O8" s="185">
        <v>23.625</v>
      </c>
      <c r="P8" s="185"/>
      <c r="Q8" s="185"/>
      <c r="R8" s="185"/>
      <c r="S8" s="185">
        <v>1565.81</v>
      </c>
      <c r="T8" s="185">
        <v>3433.87525</v>
      </c>
    </row>
    <row r="9" spans="1:20" ht="12.75">
      <c r="A9" s="161" t="s">
        <v>60</v>
      </c>
      <c r="B9" s="185">
        <v>278</v>
      </c>
      <c r="C9" s="185">
        <v>109.2</v>
      </c>
      <c r="D9" s="185">
        <v>21.21</v>
      </c>
      <c r="E9" s="185"/>
      <c r="F9" s="185">
        <v>138.474</v>
      </c>
      <c r="G9" s="185">
        <v>20.57</v>
      </c>
      <c r="H9" s="185">
        <v>172.125</v>
      </c>
      <c r="I9" s="185">
        <v>446.5</v>
      </c>
      <c r="J9" s="185"/>
      <c r="K9" s="185"/>
      <c r="L9" s="185"/>
      <c r="M9" s="185">
        <v>180.294875</v>
      </c>
      <c r="N9" s="185"/>
      <c r="O9" s="185">
        <v>23.625</v>
      </c>
      <c r="P9" s="185"/>
      <c r="Q9" s="185">
        <v>65.688</v>
      </c>
      <c r="R9" s="185"/>
      <c r="S9" s="185">
        <v>1565.81</v>
      </c>
      <c r="T9" s="185">
        <v>3021.4968750000003</v>
      </c>
    </row>
    <row r="10" spans="1:20" ht="12.75">
      <c r="A10" s="161" t="s">
        <v>6</v>
      </c>
      <c r="B10" s="185">
        <v>278</v>
      </c>
      <c r="C10" s="185">
        <v>109.2</v>
      </c>
      <c r="D10" s="185">
        <v>21.21</v>
      </c>
      <c r="E10" s="185"/>
      <c r="F10" s="185">
        <v>260.93399999999997</v>
      </c>
      <c r="G10" s="185">
        <v>10.285</v>
      </c>
      <c r="H10" s="185">
        <v>86.0625</v>
      </c>
      <c r="I10" s="185">
        <v>295.925</v>
      </c>
      <c r="J10" s="185"/>
      <c r="K10" s="185"/>
      <c r="L10" s="185"/>
      <c r="M10" s="185">
        <v>180.294875</v>
      </c>
      <c r="N10" s="185"/>
      <c r="O10" s="185">
        <v>47.25</v>
      </c>
      <c r="P10" s="185">
        <v>64.2</v>
      </c>
      <c r="Q10" s="185">
        <v>131.376</v>
      </c>
      <c r="R10" s="185"/>
      <c r="S10" s="185">
        <v>3140.785</v>
      </c>
      <c r="T10" s="185">
        <v>4625.522375</v>
      </c>
    </row>
    <row r="11" spans="1:20" ht="12.75">
      <c r="A11" s="161" t="s">
        <v>106</v>
      </c>
      <c r="B11" s="185"/>
      <c r="C11" s="185"/>
      <c r="D11" s="185"/>
      <c r="E11" s="185">
        <v>42.35</v>
      </c>
      <c r="F11" s="185"/>
      <c r="G11" s="185"/>
      <c r="H11" s="185"/>
      <c r="I11" s="185"/>
      <c r="J11" s="185"/>
      <c r="K11" s="185"/>
      <c r="L11" s="185">
        <v>204.65</v>
      </c>
      <c r="M11" s="185"/>
      <c r="N11" s="185"/>
      <c r="O11" s="185">
        <v>115.875</v>
      </c>
      <c r="P11" s="185"/>
      <c r="Q11" s="185"/>
      <c r="R11" s="185"/>
      <c r="S11" s="185"/>
      <c r="T11" s="185">
        <v>362.875</v>
      </c>
    </row>
    <row r="12" spans="1:20" ht="12.75">
      <c r="A12" s="161" t="s">
        <v>105</v>
      </c>
      <c r="B12" s="185"/>
      <c r="C12" s="185"/>
      <c r="D12" s="185"/>
      <c r="E12" s="185">
        <v>42.35</v>
      </c>
      <c r="F12" s="185"/>
      <c r="G12" s="185"/>
      <c r="H12" s="185"/>
      <c r="I12" s="185"/>
      <c r="J12" s="185"/>
      <c r="K12" s="185"/>
      <c r="L12" s="185">
        <v>204.65</v>
      </c>
      <c r="M12" s="185"/>
      <c r="N12" s="185">
        <v>418</v>
      </c>
      <c r="O12" s="185">
        <v>115.875</v>
      </c>
      <c r="P12" s="185">
        <v>64.2</v>
      </c>
      <c r="Q12" s="185"/>
      <c r="R12" s="185"/>
      <c r="S12" s="185"/>
      <c r="T12" s="185">
        <v>845.075</v>
      </c>
    </row>
    <row r="13" spans="1:20" ht="12.75">
      <c r="A13" s="161" t="s">
        <v>99</v>
      </c>
      <c r="B13" s="185"/>
      <c r="C13" s="185">
        <v>105.3</v>
      </c>
      <c r="D13" s="185">
        <v>114.03</v>
      </c>
      <c r="E13" s="185">
        <v>84.7</v>
      </c>
      <c r="F13" s="185">
        <v>256.22400000000005</v>
      </c>
      <c r="G13" s="185">
        <v>164.56</v>
      </c>
      <c r="H13" s="185">
        <v>1377</v>
      </c>
      <c r="I13" s="185"/>
      <c r="J13" s="185"/>
      <c r="K13" s="185"/>
      <c r="L13" s="185">
        <v>409.3</v>
      </c>
      <c r="M13" s="185"/>
      <c r="N13" s="185">
        <v>474</v>
      </c>
      <c r="O13" s="185">
        <v>231.75</v>
      </c>
      <c r="P13" s="185"/>
      <c r="Q13" s="185"/>
      <c r="R13" s="185"/>
      <c r="S13" s="185"/>
      <c r="T13" s="185">
        <v>3216.8640000000005</v>
      </c>
    </row>
    <row r="14" spans="1:20" ht="12.75">
      <c r="A14" s="161" t="s">
        <v>153</v>
      </c>
      <c r="B14" s="185"/>
      <c r="C14" s="185"/>
      <c r="D14" s="185"/>
      <c r="E14" s="185"/>
      <c r="F14" s="185"/>
      <c r="G14" s="185"/>
      <c r="H14" s="185"/>
      <c r="I14" s="185"/>
      <c r="J14" s="185"/>
      <c r="K14" s="185"/>
      <c r="L14" s="185"/>
      <c r="M14" s="185"/>
      <c r="N14" s="185"/>
      <c r="O14" s="185"/>
      <c r="P14" s="185">
        <v>79.2</v>
      </c>
      <c r="Q14" s="185"/>
      <c r="R14" s="185"/>
      <c r="S14" s="185"/>
      <c r="T14" s="185">
        <v>79.2</v>
      </c>
    </row>
    <row r="15" spans="1:20" ht="12.75">
      <c r="A15" s="161" t="s">
        <v>100</v>
      </c>
      <c r="B15" s="185"/>
      <c r="C15" s="185"/>
      <c r="D15" s="185"/>
      <c r="E15" s="185"/>
      <c r="F15" s="185"/>
      <c r="G15" s="185"/>
      <c r="H15" s="185"/>
      <c r="I15" s="185"/>
      <c r="J15" s="185">
        <v>1817.11</v>
      </c>
      <c r="K15" s="185">
        <v>14629.184000000001</v>
      </c>
      <c r="L15" s="185"/>
      <c r="M15" s="185"/>
      <c r="N15" s="185"/>
      <c r="O15" s="185"/>
      <c r="P15" s="185"/>
      <c r="Q15" s="185"/>
      <c r="R15" s="185"/>
      <c r="S15" s="185"/>
      <c r="T15" s="185">
        <v>16446.294</v>
      </c>
    </row>
    <row r="16" spans="1:20" ht="12.75">
      <c r="A16" s="161" t="s">
        <v>101</v>
      </c>
      <c r="B16" s="185"/>
      <c r="C16" s="185"/>
      <c r="D16" s="185"/>
      <c r="E16" s="185"/>
      <c r="F16" s="185"/>
      <c r="G16" s="185"/>
      <c r="H16" s="185"/>
      <c r="I16" s="185"/>
      <c r="J16" s="185"/>
      <c r="K16" s="185">
        <v>3657.2960000000003</v>
      </c>
      <c r="L16" s="185"/>
      <c r="M16" s="185"/>
      <c r="N16" s="185"/>
      <c r="O16" s="185"/>
      <c r="P16" s="185"/>
      <c r="Q16" s="185">
        <v>65.688</v>
      </c>
      <c r="R16" s="185"/>
      <c r="S16" s="185"/>
      <c r="T16" s="185">
        <v>3722.9840000000004</v>
      </c>
    </row>
    <row r="17" spans="1:20" ht="12.75">
      <c r="A17" s="161" t="s">
        <v>61</v>
      </c>
      <c r="B17" s="185"/>
      <c r="C17" s="185"/>
      <c r="D17" s="185"/>
      <c r="E17" s="185"/>
      <c r="F17" s="185"/>
      <c r="G17" s="185"/>
      <c r="H17" s="185"/>
      <c r="I17" s="185"/>
      <c r="J17" s="185"/>
      <c r="K17" s="185"/>
      <c r="L17" s="185"/>
      <c r="M17" s="185"/>
      <c r="N17" s="185"/>
      <c r="O17" s="185"/>
      <c r="P17" s="185">
        <v>74.2</v>
      </c>
      <c r="Q17" s="185">
        <v>65.688</v>
      </c>
      <c r="R17" s="185">
        <v>55.1</v>
      </c>
      <c r="S17" s="185">
        <v>27.495</v>
      </c>
      <c r="T17" s="185">
        <v>222.483</v>
      </c>
    </row>
    <row r="18" spans="1:20" ht="12.75">
      <c r="A18" s="161" t="s">
        <v>139</v>
      </c>
      <c r="B18" s="185"/>
      <c r="C18" s="185"/>
      <c r="D18" s="185"/>
      <c r="E18" s="185"/>
      <c r="F18" s="185"/>
      <c r="G18" s="185"/>
      <c r="H18" s="185"/>
      <c r="I18" s="185"/>
      <c r="J18" s="185"/>
      <c r="K18" s="185"/>
      <c r="L18" s="185"/>
      <c r="M18" s="185"/>
      <c r="N18" s="185"/>
      <c r="O18" s="185"/>
      <c r="P18" s="185">
        <v>128.4</v>
      </c>
      <c r="Q18" s="185"/>
      <c r="R18" s="185"/>
      <c r="S18" s="185"/>
      <c r="T18" s="185">
        <v>128.4</v>
      </c>
    </row>
    <row r="19" spans="1:20" ht="12.75">
      <c r="A19" s="161" t="s">
        <v>154</v>
      </c>
      <c r="B19" s="185"/>
      <c r="C19" s="185"/>
      <c r="D19" s="185"/>
      <c r="E19" s="185"/>
      <c r="F19" s="185"/>
      <c r="G19" s="185"/>
      <c r="H19" s="185"/>
      <c r="I19" s="185"/>
      <c r="J19" s="185"/>
      <c r="K19" s="185"/>
      <c r="L19" s="185"/>
      <c r="M19" s="185"/>
      <c r="N19" s="185">
        <v>28</v>
      </c>
      <c r="O19" s="185"/>
      <c r="P19" s="185">
        <v>74.2</v>
      </c>
      <c r="Q19" s="185"/>
      <c r="R19" s="185"/>
      <c r="S19" s="185"/>
      <c r="T19" s="185">
        <v>102.2</v>
      </c>
    </row>
    <row r="20" spans="1:20" ht="25.5">
      <c r="A20" s="161" t="s">
        <v>202</v>
      </c>
      <c r="B20" s="185"/>
      <c r="C20" s="185"/>
      <c r="D20" s="185"/>
      <c r="E20" s="185"/>
      <c r="F20" s="185"/>
      <c r="G20" s="185"/>
      <c r="H20" s="185"/>
      <c r="I20" s="185"/>
      <c r="J20" s="185"/>
      <c r="K20" s="185"/>
      <c r="L20" s="185"/>
      <c r="M20" s="185"/>
      <c r="N20" s="185"/>
      <c r="O20" s="185"/>
      <c r="P20" s="185">
        <v>74.2</v>
      </c>
      <c r="Q20" s="185"/>
      <c r="R20" s="185"/>
      <c r="S20" s="185"/>
      <c r="T20" s="185">
        <v>74.2</v>
      </c>
    </row>
    <row r="21" spans="1:20" ht="12.75">
      <c r="A21" s="161" t="s">
        <v>203</v>
      </c>
      <c r="B21" s="185"/>
      <c r="C21" s="185"/>
      <c r="D21" s="185"/>
      <c r="E21" s="185"/>
      <c r="F21" s="185"/>
      <c r="G21" s="185"/>
      <c r="H21" s="185"/>
      <c r="I21" s="185"/>
      <c r="J21" s="185"/>
      <c r="K21" s="185"/>
      <c r="L21" s="185"/>
      <c r="M21" s="185"/>
      <c r="N21" s="185"/>
      <c r="O21" s="185"/>
      <c r="P21" s="185">
        <v>84.2</v>
      </c>
      <c r="Q21" s="185"/>
      <c r="R21" s="185"/>
      <c r="S21" s="185"/>
      <c r="T21" s="185">
        <v>84.2</v>
      </c>
    </row>
    <row r="22" spans="1:20" ht="12.75">
      <c r="A22" s="180" t="s">
        <v>87</v>
      </c>
      <c r="B22" s="186">
        <v>1112</v>
      </c>
      <c r="C22" s="186">
        <v>542.1</v>
      </c>
      <c r="D22" s="186">
        <v>156.45</v>
      </c>
      <c r="E22" s="186">
        <v>169.4</v>
      </c>
      <c r="F22" s="186">
        <v>827.46</v>
      </c>
      <c r="G22" s="186">
        <v>205.7</v>
      </c>
      <c r="H22" s="186">
        <v>1721.25</v>
      </c>
      <c r="I22" s="186">
        <v>1183.7</v>
      </c>
      <c r="J22" s="186">
        <v>1817.11</v>
      </c>
      <c r="K22" s="186">
        <v>18286.48</v>
      </c>
      <c r="L22" s="186">
        <v>818.6</v>
      </c>
      <c r="M22" s="186">
        <v>721.1795</v>
      </c>
      <c r="N22" s="186">
        <v>920</v>
      </c>
      <c r="O22" s="186">
        <v>558</v>
      </c>
      <c r="P22" s="186">
        <v>642.8</v>
      </c>
      <c r="Q22" s="186">
        <v>328.44</v>
      </c>
      <c r="R22" s="186">
        <v>55.1</v>
      </c>
      <c r="S22" s="186">
        <v>6299.9</v>
      </c>
      <c r="T22" s="186">
        <v>36365.669499999996</v>
      </c>
    </row>
    <row r="24" spans="1:21" s="141" customFormat="1" ht="12.75">
      <c r="A24"/>
      <c r="B24"/>
      <c r="C24"/>
      <c r="D24"/>
      <c r="E24"/>
      <c r="F24"/>
      <c r="G24"/>
      <c r="H24"/>
      <c r="I24"/>
      <c r="J24"/>
      <c r="K24"/>
      <c r="L24"/>
      <c r="M24"/>
      <c r="N24"/>
      <c r="O24"/>
      <c r="P24"/>
      <c r="Q24"/>
      <c r="R24"/>
      <c r="S24"/>
      <c r="T24"/>
      <c r="U24"/>
    </row>
    <row r="25" ht="12.75">
      <c r="A25" s="156"/>
    </row>
    <row r="28" ht="12.75">
      <c r="L28" s="133"/>
    </row>
    <row r="29" ht="12.75">
      <c r="L29" s="133"/>
    </row>
    <row r="30" ht="15.75">
      <c r="L30" s="132"/>
    </row>
  </sheetData>
  <printOptions horizontalCentered="1"/>
  <pageMargins left="0.25" right="0.25" top="0.75" bottom="0.75" header="0.25" footer="0.25"/>
  <pageSetup horizontalDpi="600" verticalDpi="600" orientation="landscape" scale="75" r:id="rId1"/>
  <headerFooter alignWithMargins="0">
    <oddHeader>&amp;RRFP-R-OPC-22640</oddHeader>
    <oddFooter>&amp;LHUD Multifamily Housing Agency Tender&amp;CAppendix C-3-&amp;P&amp;RTechnical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16" sqref="B16"/>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9" t="s">
        <v>107</v>
      </c>
      <c r="B4" s="63"/>
    </row>
    <row r="5" spans="1:2" ht="12.75">
      <c r="A5" s="49" t="s">
        <v>85</v>
      </c>
      <c r="B5" s="60" t="s">
        <v>68</v>
      </c>
    </row>
    <row r="6" spans="1:3" ht="12.75">
      <c r="A6" s="147">
        <v>4.1</v>
      </c>
      <c r="B6" s="121">
        <v>1112</v>
      </c>
      <c r="C6" s="90">
        <f>+B6/1776</f>
        <v>0.6261261261261262</v>
      </c>
    </row>
    <row r="7" spans="1:3" ht="12.75">
      <c r="A7" s="148">
        <v>4.11</v>
      </c>
      <c r="B7" s="122">
        <v>542.1</v>
      </c>
      <c r="C7" s="90">
        <f aca="true" t="shared" si="0" ref="C7:C23">+B7/1776</f>
        <v>0.3052364864864865</v>
      </c>
    </row>
    <row r="8" spans="1:3" ht="12.75">
      <c r="A8" s="148">
        <v>4.12</v>
      </c>
      <c r="B8" s="122">
        <v>156.45</v>
      </c>
      <c r="C8" s="90">
        <f t="shared" si="0"/>
        <v>0.08809121621621621</v>
      </c>
    </row>
    <row r="9" spans="1:3" ht="12.75">
      <c r="A9" s="148">
        <v>4.13</v>
      </c>
      <c r="B9" s="122">
        <v>169.4</v>
      </c>
      <c r="C9" s="90">
        <f t="shared" si="0"/>
        <v>0.09538288288288288</v>
      </c>
    </row>
    <row r="10" spans="1:3" ht="12.75">
      <c r="A10" s="148">
        <v>4.14</v>
      </c>
      <c r="B10" s="122">
        <v>827.46</v>
      </c>
      <c r="C10" s="90">
        <f t="shared" si="0"/>
        <v>0.4659121621621622</v>
      </c>
    </row>
    <row r="11" spans="1:3" ht="12.75">
      <c r="A11" s="148">
        <v>4.15</v>
      </c>
      <c r="B11" s="122">
        <v>205.7</v>
      </c>
      <c r="C11" s="90">
        <f t="shared" si="0"/>
        <v>0.11582207207207207</v>
      </c>
    </row>
    <row r="12" spans="1:3" ht="12.75">
      <c r="A12" s="148">
        <v>4.16</v>
      </c>
      <c r="B12" s="122">
        <v>1721.25</v>
      </c>
      <c r="C12" s="90">
        <f t="shared" si="0"/>
        <v>0.9691722972972973</v>
      </c>
    </row>
    <row r="13" spans="1:3" ht="12.75">
      <c r="A13" s="148">
        <v>4.17</v>
      </c>
      <c r="B13" s="122">
        <v>1183.7</v>
      </c>
      <c r="C13" s="90">
        <f t="shared" si="0"/>
        <v>0.6664977477477477</v>
      </c>
    </row>
    <row r="14" spans="1:3" ht="12.75">
      <c r="A14" s="148">
        <v>4.18</v>
      </c>
      <c r="B14" s="122">
        <v>1817.11</v>
      </c>
      <c r="C14" s="90">
        <f t="shared" si="0"/>
        <v>1.0231475225225224</v>
      </c>
    </row>
    <row r="15" spans="1:3" ht="12.75">
      <c r="A15" s="148">
        <v>4.2</v>
      </c>
      <c r="B15" s="122">
        <v>18286.48</v>
      </c>
      <c r="C15" s="90">
        <f t="shared" si="0"/>
        <v>10.296441441441441</v>
      </c>
    </row>
    <row r="16" spans="1:3" ht="12.75">
      <c r="A16" s="148">
        <v>4.3</v>
      </c>
      <c r="B16" s="122">
        <v>818.6</v>
      </c>
      <c r="C16" s="90">
        <f t="shared" si="0"/>
        <v>0.46092342342342346</v>
      </c>
    </row>
    <row r="17" spans="1:3" ht="12.75">
      <c r="A17" s="148">
        <v>4.4</v>
      </c>
      <c r="B17" s="122">
        <v>721.1795</v>
      </c>
      <c r="C17" s="90">
        <f t="shared" si="0"/>
        <v>0.4060695382882883</v>
      </c>
    </row>
    <row r="18" spans="1:3" ht="12.75">
      <c r="A18" s="148">
        <v>4.5</v>
      </c>
      <c r="B18" s="122">
        <v>920</v>
      </c>
      <c r="C18" s="90">
        <f t="shared" si="0"/>
        <v>0.5180180180180181</v>
      </c>
    </row>
    <row r="19" spans="1:3" ht="12.75">
      <c r="A19" s="148">
        <v>4.6</v>
      </c>
      <c r="B19" s="122">
        <v>558</v>
      </c>
      <c r="C19" s="90">
        <f t="shared" si="0"/>
        <v>0.3141891891891892</v>
      </c>
    </row>
    <row r="20" spans="1:3" ht="12.75">
      <c r="A20" s="148">
        <v>4.7</v>
      </c>
      <c r="B20" s="122">
        <v>642.8</v>
      </c>
      <c r="C20" s="90">
        <f t="shared" si="0"/>
        <v>0.3619369369369369</v>
      </c>
    </row>
    <row r="21" spans="1:3" ht="12.75">
      <c r="A21" s="148">
        <v>4.8</v>
      </c>
      <c r="B21" s="122">
        <v>328.44</v>
      </c>
      <c r="C21" s="90">
        <f t="shared" si="0"/>
        <v>0.18493243243243243</v>
      </c>
    </row>
    <row r="22" spans="1:3" ht="12.75">
      <c r="A22" s="148">
        <v>4.9</v>
      </c>
      <c r="B22" s="122">
        <v>55.1</v>
      </c>
      <c r="C22" s="90">
        <f t="shared" si="0"/>
        <v>0.031024774774774777</v>
      </c>
    </row>
    <row r="23" spans="1:3" ht="12.75">
      <c r="A23" s="148" t="s">
        <v>170</v>
      </c>
      <c r="B23" s="122">
        <v>6299.9</v>
      </c>
      <c r="C23" s="90">
        <f t="shared" si="0"/>
        <v>3.547240990990991</v>
      </c>
    </row>
    <row r="24" spans="1:2" ht="12.75">
      <c r="A24" s="30" t="s">
        <v>87</v>
      </c>
      <c r="B24" s="62">
        <v>36365.669499999996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5">
      <selection activeCell="B19" sqref="B19"/>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1" t="s">
        <v>88</v>
      </c>
    </row>
    <row r="6" spans="1:2" ht="12.75">
      <c r="A6" s="49" t="s">
        <v>107</v>
      </c>
      <c r="B6" s="63"/>
    </row>
    <row r="7" spans="1:2" ht="12.75">
      <c r="A7" s="49" t="s">
        <v>1</v>
      </c>
      <c r="B7" s="60" t="s">
        <v>68</v>
      </c>
    </row>
    <row r="8" spans="1:3" ht="12.75">
      <c r="A8" s="115" t="s">
        <v>86</v>
      </c>
      <c r="B8" s="121">
        <v>0</v>
      </c>
      <c r="C8" s="90">
        <f>+B8/1776</f>
        <v>0</v>
      </c>
    </row>
    <row r="9" spans="1:3" ht="12.75">
      <c r="A9" s="116" t="s">
        <v>89</v>
      </c>
      <c r="B9" s="122">
        <v>3433.8752499999996</v>
      </c>
      <c r="C9" s="90">
        <f aca="true" t="shared" si="0" ref="C9:C23">+B9/1776</f>
        <v>1.9334883164414411</v>
      </c>
    </row>
    <row r="10" spans="1:3" ht="12.75">
      <c r="A10" s="116" t="s">
        <v>60</v>
      </c>
      <c r="B10" s="122">
        <v>3021.4968750000003</v>
      </c>
      <c r="C10" s="90">
        <f t="shared" si="0"/>
        <v>1.7012932854729732</v>
      </c>
    </row>
    <row r="11" spans="1:3" ht="12.75">
      <c r="A11" s="116" t="s">
        <v>6</v>
      </c>
      <c r="B11" s="122">
        <v>4625.522374999999</v>
      </c>
      <c r="C11" s="90">
        <f t="shared" si="0"/>
        <v>2.6044607967342333</v>
      </c>
    </row>
    <row r="12" spans="1:3" ht="12.75">
      <c r="A12" s="116" t="s">
        <v>106</v>
      </c>
      <c r="B12" s="122">
        <v>362.875</v>
      </c>
      <c r="C12" s="90">
        <f t="shared" si="0"/>
        <v>0.204321509009009</v>
      </c>
    </row>
    <row r="13" spans="1:3" ht="12.75">
      <c r="A13" s="116" t="s">
        <v>105</v>
      </c>
      <c r="B13" s="122">
        <v>845.075</v>
      </c>
      <c r="C13" s="90">
        <f t="shared" si="0"/>
        <v>0.47583051801801807</v>
      </c>
    </row>
    <row r="14" spans="1:3" ht="12.75">
      <c r="A14" s="116" t="s">
        <v>99</v>
      </c>
      <c r="B14" s="122">
        <v>3216.864</v>
      </c>
      <c r="C14" s="90">
        <f t="shared" si="0"/>
        <v>1.8112972972972974</v>
      </c>
    </row>
    <row r="15" spans="1:3" ht="12.75">
      <c r="A15" s="116" t="s">
        <v>153</v>
      </c>
      <c r="B15" s="122">
        <v>79.2</v>
      </c>
      <c r="C15" s="90">
        <f t="shared" si="0"/>
        <v>0.0445945945945946</v>
      </c>
    </row>
    <row r="16" spans="1:3" ht="12.75">
      <c r="A16" s="116" t="s">
        <v>100</v>
      </c>
      <c r="B16" s="122">
        <v>16446.294</v>
      </c>
      <c r="C16" s="90">
        <f t="shared" si="0"/>
        <v>9.260300675675676</v>
      </c>
    </row>
    <row r="17" spans="1:3" ht="12.75">
      <c r="A17" s="116" t="s">
        <v>101</v>
      </c>
      <c r="B17" s="122">
        <v>3722.9840000000004</v>
      </c>
      <c r="C17" s="90">
        <f t="shared" si="0"/>
        <v>2.096274774774775</v>
      </c>
    </row>
    <row r="18" spans="1:3" ht="12.75">
      <c r="A18" s="116" t="s">
        <v>61</v>
      </c>
      <c r="B18" s="122">
        <v>222.483</v>
      </c>
      <c r="C18" s="90">
        <f t="shared" si="0"/>
        <v>0.12527195945945946</v>
      </c>
    </row>
    <row r="19" spans="1:3" ht="12.75">
      <c r="A19" s="116" t="s">
        <v>139</v>
      </c>
      <c r="B19" s="122">
        <v>128.4</v>
      </c>
      <c r="C19" s="90">
        <f t="shared" si="0"/>
        <v>0.0722972972972973</v>
      </c>
    </row>
    <row r="20" spans="1:3" ht="12.75">
      <c r="A20" s="116" t="s">
        <v>154</v>
      </c>
      <c r="B20" s="122">
        <v>102.2</v>
      </c>
      <c r="C20" s="90">
        <f t="shared" si="0"/>
        <v>0.05754504504504505</v>
      </c>
    </row>
    <row r="21" spans="1:3" ht="12.75">
      <c r="A21" s="116" t="s">
        <v>202</v>
      </c>
      <c r="B21" s="122">
        <v>74.2</v>
      </c>
      <c r="C21" s="90">
        <f t="shared" si="0"/>
        <v>0.04177927927927928</v>
      </c>
    </row>
    <row r="22" spans="1:3" ht="12.75">
      <c r="A22" s="116" t="s">
        <v>203</v>
      </c>
      <c r="B22" s="122">
        <v>84.2</v>
      </c>
      <c r="C22" s="90">
        <f t="shared" si="0"/>
        <v>0.04740990990990991</v>
      </c>
    </row>
    <row r="23" spans="1:3" ht="16.5" customHeight="1">
      <c r="A23" s="30" t="s">
        <v>87</v>
      </c>
      <c r="B23" s="62">
        <v>36365.66949999999</v>
      </c>
      <c r="C23" s="90">
        <f t="shared" si="0"/>
        <v>20.476165259009004</v>
      </c>
    </row>
    <row r="24" ht="12.75">
      <c r="C24" s="90"/>
    </row>
    <row r="25" ht="12.75">
      <c r="C25" s="90"/>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2005-10-05T13:49:42Z</cp:lastPrinted>
  <dcterms:created xsi:type="dcterms:W3CDTF">2005-02-22T15:50:19Z</dcterms:created>
  <dcterms:modified xsi:type="dcterms:W3CDTF">2006-06-29T17:19:32Z</dcterms:modified>
  <cp:category/>
  <cp:version/>
  <cp:contentType/>
  <cp:contentStatus/>
</cp:coreProperties>
</file>